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2.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1.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xl/comments2.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omments5.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Kiều Vân\Năm 2024\Nông hóa thổ nhưỡng\Trình phê duyệt dự toán 22.8.2024\"/>
    </mc:Choice>
  </mc:AlternateContent>
  <bookViews>
    <workbookView xWindow="-120" yWindow="-120" windowWidth="29040" windowHeight="15840" tabRatio="707"/>
  </bookViews>
  <sheets>
    <sheet name="TongHop" sheetId="25" r:id="rId1"/>
    <sheet name="Biểu 01" sheetId="26" r:id="rId2"/>
    <sheet name="Biểu 02" sheetId="31" r:id="rId3"/>
    <sheet name="Biểu 03" sheetId="27" r:id="rId4"/>
    <sheet name="RutGon" sheetId="38" state="hidden" r:id="rId5"/>
    <sheet name="TongThe" sheetId="37" state="hidden" r:id="rId6"/>
    <sheet name="Số mẫu cần lấy" sheetId="28" r:id="rId7"/>
    <sheet name="Lập đề cương" sheetId="24" r:id="rId8"/>
    <sheet name="ĐTQL_cosodulieu" sheetId="32" r:id="rId9"/>
    <sheet name="Bộ cơ sở dữ liệu" sheetId="33" r:id="rId10"/>
    <sheet name="trường dữ liệu KG" sheetId="34" r:id="rId11"/>
    <sheet name="trường phi KG " sheetId="35" r:id="rId12"/>
    <sheet name="QuydoiDTQL" sheetId="36" r:id="rId13"/>
    <sheet name="Bảng lương" sheetId="14" r:id="rId14"/>
    <sheet name="Số xã làm Bản đồ" sheetId="29" r:id="rId15"/>
    <sheet name="GiaPhanTich" sheetId="30" r:id="rId16"/>
    <sheet name="Sheet1" sheetId="39" r:id="rId17"/>
  </sheets>
  <definedNames>
    <definedName name="_40x4">5100</definedName>
    <definedName name="_Fill" localSheetId="1" hidden="1">#REF!</definedName>
    <definedName name="_Fill" localSheetId="3" hidden="1">#REF!</definedName>
    <definedName name="_Fill" localSheetId="7" hidden="1">#REF!</definedName>
    <definedName name="_Fill" hidden="1">#REF!</definedName>
    <definedName name="_Order1" hidden="1">255</definedName>
    <definedName name="_Order2" hidden="1">255</definedName>
    <definedName name="a" localSheetId="1" hidden="1">{"'Sheet1'!$L$16"}</definedName>
    <definedName name="a" localSheetId="3" hidden="1">{"'Sheet1'!$L$16"}</definedName>
    <definedName name="a" hidden="1">{"'Sheet1'!$L$16"}</definedName>
    <definedName name="aa" localSheetId="1" hidden="1">{"'Sheet1'!$L$16"}</definedName>
    <definedName name="aa" localSheetId="3" hidden="1">{"'Sheet1'!$L$16"}</definedName>
    <definedName name="aa" hidden="1">{"'Sheet1'!$L$16"}</definedName>
    <definedName name="aq" localSheetId="1" hidden="1">{0,2.785144981065E-308,0,0;0,0,0,0;0,0,0,0;0,0,FALSE,0;0,0,0,0;0,0,#VALUE!,0;0,0,0,0}</definedName>
    <definedName name="aq" localSheetId="3" hidden="1">{0,2.785144981065E-308,0,0;0,0,0,0;0,0,0,0;0,0,FALSE,0;0,0,0,0;0,0,#VALUE!,0;0,0,0,0}</definedName>
    <definedName name="aq" hidden="1">{0,2.785144981065E-308,0,0;0,0,0,0;0,0,0,0;0,0,FALSE,0;0,0,0,0;0,0,#VALUE!,0;0,0,0,0}</definedName>
    <definedName name="as" localSheetId="1" hidden="1">{0,0,0,0;0,0,0,0;0,0,TRUE,0;0,0,0,0;0,0,0,0;0,0,0,FALSE;0,0,0,0}</definedName>
    <definedName name="as" localSheetId="3" hidden="1">{0,0,0,0;0,0,0,0;0,0,TRUE,0;0,0,0,0;0,0,0,0;0,0,0,FALSE;0,0,0,0}</definedName>
    <definedName name="as" hidden="1">{0,0,0,0;0,0,0,0;0,0,TRUE,0;0,0,0,0;0,0,0,0;0,0,0,FALSE;0,0,0,0}</definedName>
    <definedName name="b14b" localSheetId="1" hidden="1">{"'Sheet1'!$L$16"}</definedName>
    <definedName name="b14b" localSheetId="3" hidden="1">{"'Sheet1'!$L$16"}</definedName>
    <definedName name="b14b" hidden="1">{"'Sheet1'!$L$16"}</definedName>
    <definedName name="b14b1" localSheetId="1" hidden="1">{"'Sheet1'!$L$16"}</definedName>
    <definedName name="b14b1" localSheetId="3" hidden="1">{"'Sheet1'!$L$16"}</definedName>
    <definedName name="b14b1" hidden="1">{"'Sheet1'!$L$16"}</definedName>
    <definedName name="Bgiang" localSheetId="1" hidden="1">{"'Sheet1'!$L$16"}</definedName>
    <definedName name="Bgiang" localSheetId="3" hidden="1">{"'Sheet1'!$L$16"}</definedName>
    <definedName name="Bgiang" hidden="1">{"'Sheet1'!$L$16"}</definedName>
    <definedName name="Bulongma">8700</definedName>
    <definedName name="CACAU">298161</definedName>
    <definedName name="CLVC3">0.1</definedName>
    <definedName name="Cotsatma">9726</definedName>
    <definedName name="Cotthepma">9726</definedName>
    <definedName name="cumtu_1" localSheetId="2">'Biểu 02'!#REF!</definedName>
    <definedName name="cumtu_2" localSheetId="2">'Biểu 02'!#REF!</definedName>
    <definedName name="DCL_22">12117600</definedName>
    <definedName name="DCL_35">25490000</definedName>
    <definedName name="er" localSheetId="1" hidden="1">{0,0,0,0;0,0,0,0;0,0,0,0;0,0,0,0;0,0,0,0;0,0,0,0;0,0,0,0}</definedName>
    <definedName name="er" localSheetId="3" hidden="1">{0,0,0,0;0,0,0,0;0,0,0,0;0,0,0,0;0,0,0,0;0,0,0,0;0,0,0,0}</definedName>
    <definedName name="er" hidden="1">{0,0,0,0;0,0,0,0;0,0,0,0;0,0,0,0;0,0,0,0;0,0,0,0;0,0,0,0}</definedName>
    <definedName name="fbsdggdsf" localSheetId="1">{"DZ-TDTB2.XLS","Dcksat.xls"}</definedName>
    <definedName name="fbsdggdsf" localSheetId="3">{"DZ-TDTB2.XLS","Dcksat.xls"}</definedName>
    <definedName name="fbsdggdsf">{"DZ-TDTB2.XLS","Dcksat.xls"}</definedName>
    <definedName name="fff" localSheetId="1" hidden="1">{"'Sheet1'!$L$16"}</definedName>
    <definedName name="fff" localSheetId="3" hidden="1">{"'Sheet1'!$L$16"}</definedName>
    <definedName name="fff" hidden="1">{"'Sheet1'!$L$16"}</definedName>
    <definedName name="FI_12">4820</definedName>
    <definedName name="g" localSheetId="1" hidden="1">{"'Sheet1'!$L$16"}</definedName>
    <definedName name="g" localSheetId="3" hidden="1">{"'Sheet1'!$L$16"}</definedName>
    <definedName name="g" hidden="1">{"'Sheet1'!$L$16"}</definedName>
    <definedName name="h" localSheetId="1" hidden="1">{"'Sheet1'!$L$16"}</definedName>
    <definedName name="h" localSheetId="3" hidden="1">{"'Sheet1'!$L$16"}</definedName>
    <definedName name="h" hidden="1">{"'Sheet1'!$L$16"}</definedName>
    <definedName name="Heä_soá_laép_xaø_H">1.7</definedName>
    <definedName name="HSCT3">0.1</definedName>
    <definedName name="HSDN">2.5</definedName>
    <definedName name="HTML_CodePage" hidden="1">950</definedName>
    <definedName name="HTML_Control" localSheetId="1" hidden="1">{"'Sheet1'!$L$16"}</definedName>
    <definedName name="HTML_Control" localSheetId="3"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y" localSheetId="1" hidden="1">{"'Sheet1'!$L$16"}</definedName>
    <definedName name="huy" localSheetId="3" hidden="1">{"'Sheet1'!$L$16"}</definedName>
    <definedName name="huy" hidden="1">{"'Sheet1'!$L$16"}</definedName>
    <definedName name="huybo" localSheetId="1">{"ÿÿÿÿÿ","§«ng C­êng.xls"}</definedName>
    <definedName name="huybo" localSheetId="3">{"ÿÿÿÿÿ","§«ng C­êng.xls"}</definedName>
    <definedName name="huybo">{"ÿÿÿÿÿ","§«ng C­êng.xls"}</definedName>
    <definedName name="KDCNThonmoi20_00" localSheetId="1" hidden="1">{"'Sheet1'!$L$16"}</definedName>
    <definedName name="KDCNThonmoi20_00" localSheetId="3" hidden="1">{"'Sheet1'!$L$16"}</definedName>
    <definedName name="KDCNThonmoi20_00" hidden="1">{"'Sheet1'!$L$16"}</definedName>
    <definedName name="L63x6">5800</definedName>
    <definedName name="LBS_22">107800000</definedName>
    <definedName name="nh" localSheetId="1">{"DZ-TDTB2.XLS","Dcksat.xls"}</definedName>
    <definedName name="nh" localSheetId="3">{"DZ-TDTB2.XLS","Dcksat.xls"}</definedName>
    <definedName name="nh">{"DZ-TDTB2.XLS","Dcksat.xls"}</definedName>
    <definedName name="nhfffd" localSheetId="1">{"DZ-TDTB2.XLS","Dcksat.xls"}</definedName>
    <definedName name="nhfffd" localSheetId="3">{"DZ-TDTB2.XLS","Dcksat.xls"}</definedName>
    <definedName name="nhfffd">{"DZ-TDTB2.XLS","Dcksat.xls"}</definedName>
    <definedName name="_xlnm.Print_Area">#REF!</definedName>
    <definedName name="_xlnm.Print_Titles" localSheetId="1">'Biểu 01'!$5:$6</definedName>
    <definedName name="_xlnm.Print_Titles" localSheetId="2">'Biểu 02'!$5:$6</definedName>
    <definedName name="_xlnm.Print_Titles" localSheetId="3">'Biểu 03'!$3:$3</definedName>
    <definedName name="_xlnm.Print_Titles" localSheetId="12">QuydoiDTQL!$12:$13</definedName>
    <definedName name="_xlnm.Print_Titles" localSheetId="10">'trường dữ liệu KG'!$3:$3</definedName>
    <definedName name="_xlnm.Print_Titles" localSheetId="11">'trường phi KG '!$3:$3</definedName>
    <definedName name="_xlnm.Print_Titles">#N/A</definedName>
    <definedName name="rate">14000</definedName>
    <definedName name="sdasd" localSheetId="1">{"DZ-TDTB2.XLS","Dcksat.xls"}</definedName>
    <definedName name="sdasd" localSheetId="3">{"DZ-TDTB2.XLS","Dcksat.xls"}</definedName>
    <definedName name="sdasd">{"DZ-TDTB2.XLS","Dcksat.xls"}</definedName>
    <definedName name="TaxTV">10%</definedName>
    <definedName name="TaxXL">5%</definedName>
    <definedName name="tet" localSheetId="1" hidden="1">{0,#NULL!,0,FALSE;0,0,0,0;0,0,0,7.29290327383173E-304;0,0,0,0;0,0,0,0;0,0,0,0;0,0,0,0}</definedName>
    <definedName name="tet" localSheetId="3" hidden="1">{0,#NULL!,0,FALSE;0,0,0,0;0,0,0,7.29290327383173E-304;0,0,0,0;0,0,0,0;0,0,0,0;0,0,0,0}</definedName>
    <definedName name="tet" hidden="1">{0,#NULL!,0,FALSE;0,0,0,0;0,0,0,7.29290327383173E-304;0,0,0,0;0,0,0,0;0,0,0,0;0,0,0,0}</definedName>
    <definedName name="thepma">10500</definedName>
    <definedName name="Tiepdiama">9500</definedName>
    <definedName name="VUNGTB" localSheetId="1" hidden="1">{"'Sheet1'!$L$16"}</definedName>
    <definedName name="VUNGTB" localSheetId="3" hidden="1">{"'Sheet1'!$L$16"}</definedName>
    <definedName name="VUNGTB" hidden="1">{"'Sheet1'!$L$16"}</definedName>
    <definedName name="XCCT">0.5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25" l="1"/>
  <c r="E28" i="25" l="1"/>
  <c r="D28" i="25"/>
  <c r="F28" i="25"/>
  <c r="K23" i="25"/>
  <c r="H23" i="25"/>
  <c r="H27" i="25"/>
  <c r="B8" i="39" l="1"/>
  <c r="O87" i="26" l="1"/>
  <c r="H88" i="27" l="1"/>
  <c r="C16" i="36"/>
  <c r="C15" i="36"/>
  <c r="C18" i="36"/>
  <c r="M18" i="36"/>
  <c r="O55" i="26"/>
  <c r="H100" i="27"/>
  <c r="H95" i="27"/>
  <c r="H94" i="27"/>
  <c r="H93" i="27"/>
  <c r="H87" i="27"/>
  <c r="H83" i="27"/>
  <c r="H82" i="27"/>
  <c r="H75" i="27"/>
  <c r="H8" i="27"/>
  <c r="H7" i="27"/>
  <c r="H6" i="27"/>
  <c r="O97" i="26"/>
  <c r="O52" i="26"/>
  <c r="M11" i="28" l="1"/>
  <c r="B11" i="39" s="1"/>
  <c r="C27" i="28"/>
  <c r="B5" i="39"/>
  <c r="J8" i="27" l="1"/>
  <c r="J7" i="27"/>
  <c r="Y27" i="31"/>
  <c r="Y28" i="31"/>
  <c r="Y44" i="31"/>
  <c r="Y49" i="31"/>
  <c r="J6" i="27"/>
  <c r="J93" i="27"/>
  <c r="M93" i="27"/>
  <c r="J103" i="27"/>
  <c r="J111" i="27"/>
  <c r="J114" i="27"/>
  <c r="J113" i="27"/>
  <c r="J112" i="27"/>
  <c r="J109" i="27"/>
  <c r="J108" i="27"/>
  <c r="J107" i="27"/>
  <c r="J106" i="27"/>
  <c r="J104" i="27"/>
  <c r="J110" i="27"/>
  <c r="J105" i="27"/>
  <c r="M7" i="27"/>
  <c r="C4" i="34"/>
  <c r="G21" i="36" s="1"/>
  <c r="C32" i="34"/>
  <c r="F24" i="25"/>
  <c r="E16" i="25"/>
  <c r="F16" i="25" s="1"/>
  <c r="H22" i="27"/>
  <c r="J22" i="27" s="1"/>
  <c r="H23" i="27"/>
  <c r="J23" i="27" s="1"/>
  <c r="H24" i="27"/>
  <c r="J24" i="27" s="1"/>
  <c r="H25" i="27"/>
  <c r="J25" i="27" s="1"/>
  <c r="H26" i="27"/>
  <c r="J26" i="27" s="1"/>
  <c r="H27" i="27"/>
  <c r="J27" i="27" s="1"/>
  <c r="H28" i="27"/>
  <c r="J28" i="27" s="1"/>
  <c r="H29" i="27"/>
  <c r="J29" i="27" s="1"/>
  <c r="H30" i="27"/>
  <c r="J30" i="27" s="1"/>
  <c r="H31" i="27"/>
  <c r="J31" i="27" s="1"/>
  <c r="J83" i="27"/>
  <c r="J82" i="27"/>
  <c r="AB81" i="26"/>
  <c r="M98" i="26"/>
  <c r="M95" i="26"/>
  <c r="M88" i="26"/>
  <c r="M85" i="26"/>
  <c r="M77" i="26"/>
  <c r="M71" i="26"/>
  <c r="M68" i="26"/>
  <c r="M64" i="26"/>
  <c r="M58" i="26"/>
  <c r="M53" i="26"/>
  <c r="M50" i="26"/>
  <c r="M41" i="26"/>
  <c r="M33" i="26"/>
  <c r="M26" i="26"/>
  <c r="M25" i="26"/>
  <c r="M19" i="26"/>
  <c r="M17" i="26" s="1"/>
  <c r="M12" i="26"/>
  <c r="M9" i="26"/>
  <c r="E10" i="37"/>
  <c r="U10" i="26"/>
  <c r="S10" i="26"/>
  <c r="S11" i="26" s="1"/>
  <c r="T14" i="31"/>
  <c r="X14" i="31" s="1"/>
  <c r="Y14" i="31" s="1"/>
  <c r="AE14" i="31" s="1"/>
  <c r="D95" i="37"/>
  <c r="J101" i="27"/>
  <c r="J100" i="27"/>
  <c r="J99" i="27"/>
  <c r="J98" i="27"/>
  <c r="J97" i="27"/>
  <c r="J96" i="27"/>
  <c r="J95" i="27"/>
  <c r="J94" i="27"/>
  <c r="J92" i="27"/>
  <c r="J91" i="27"/>
  <c r="J90" i="27"/>
  <c r="J89" i="27"/>
  <c r="J88" i="27"/>
  <c r="J87" i="27"/>
  <c r="J85" i="27"/>
  <c r="J84" i="27" s="1"/>
  <c r="J78" i="27"/>
  <c r="J77" i="27"/>
  <c r="J76" i="27"/>
  <c r="J75" i="27"/>
  <c r="J74" i="27"/>
  <c r="J71" i="27"/>
  <c r="J70" i="27"/>
  <c r="J69" i="27"/>
  <c r="J68" i="27"/>
  <c r="J67" i="27"/>
  <c r="J66" i="27"/>
  <c r="J65" i="27"/>
  <c r="J64" i="27"/>
  <c r="J63" i="27"/>
  <c r="J62" i="27"/>
  <c r="J61" i="27"/>
  <c r="J59" i="27"/>
  <c r="H58" i="27"/>
  <c r="J58" i="27" s="1"/>
  <c r="H57" i="27"/>
  <c r="J57" i="27"/>
  <c r="J56" i="27"/>
  <c r="J55" i="27"/>
  <c r="J54" i="27"/>
  <c r="J53" i="27"/>
  <c r="J52" i="27"/>
  <c r="J51" i="27"/>
  <c r="J50" i="27"/>
  <c r="J49" i="27"/>
  <c r="J47" i="27"/>
  <c r="J46" i="27"/>
  <c r="H45" i="27"/>
  <c r="J45" i="27" s="1"/>
  <c r="J44" i="27"/>
  <c r="J43" i="27"/>
  <c r="J41" i="27"/>
  <c r="J40" i="27"/>
  <c r="J39" i="27"/>
  <c r="J38" i="27"/>
  <c r="J37" i="27"/>
  <c r="J36" i="27"/>
  <c r="J35" i="27"/>
  <c r="J12" i="27"/>
  <c r="J11" i="27"/>
  <c r="J10" i="27"/>
  <c r="D104" i="26"/>
  <c r="D103" i="26"/>
  <c r="D102" i="26"/>
  <c r="D101" i="26"/>
  <c r="D100" i="26"/>
  <c r="D99" i="26"/>
  <c r="D97" i="26"/>
  <c r="D96" i="26"/>
  <c r="D87" i="26"/>
  <c r="D86" i="26"/>
  <c r="D55" i="26"/>
  <c r="D54" i="26"/>
  <c r="D52" i="26"/>
  <c r="D51" i="26"/>
  <c r="C28" i="28"/>
  <c r="F101" i="27"/>
  <c r="F100" i="27"/>
  <c r="F99" i="27"/>
  <c r="F98" i="27"/>
  <c r="F97" i="27"/>
  <c r="F96" i="27"/>
  <c r="F95" i="27"/>
  <c r="F94" i="27"/>
  <c r="F93" i="27"/>
  <c r="F92" i="27"/>
  <c r="F91" i="27"/>
  <c r="F90" i="27"/>
  <c r="F89" i="27"/>
  <c r="F88" i="27"/>
  <c r="F87" i="27"/>
  <c r="C95" i="37"/>
  <c r="B95" i="37"/>
  <c r="A95" i="37"/>
  <c r="D94" i="37"/>
  <c r="C94" i="37"/>
  <c r="B94" i="37"/>
  <c r="A94" i="37"/>
  <c r="J93" i="37"/>
  <c r="I93" i="37"/>
  <c r="H93" i="37"/>
  <c r="F93" i="37"/>
  <c r="D93" i="37"/>
  <c r="C93" i="37"/>
  <c r="B93" i="37"/>
  <c r="A93" i="37"/>
  <c r="B85" i="37"/>
  <c r="A85" i="37"/>
  <c r="B84" i="37"/>
  <c r="A84" i="37"/>
  <c r="B83" i="37"/>
  <c r="A83" i="37"/>
  <c r="B51" i="37"/>
  <c r="A51" i="37"/>
  <c r="B50" i="37"/>
  <c r="A50" i="37"/>
  <c r="B49" i="37"/>
  <c r="A49" i="37"/>
  <c r="B54" i="37"/>
  <c r="A54" i="37"/>
  <c r="B53" i="37"/>
  <c r="A53" i="37"/>
  <c r="D11" i="27"/>
  <c r="E113" i="37" s="1"/>
  <c r="D7" i="27"/>
  <c r="D10" i="27"/>
  <c r="E112" i="37" s="1"/>
  <c r="D6" i="27"/>
  <c r="F6" i="27" s="1"/>
  <c r="E108" i="37"/>
  <c r="D12" i="27"/>
  <c r="E114" i="37" s="1"/>
  <c r="D8" i="27"/>
  <c r="E110" i="37" s="1"/>
  <c r="X97" i="26"/>
  <c r="J95" i="37"/>
  <c r="H95" i="37"/>
  <c r="X96" i="26"/>
  <c r="X87" i="26"/>
  <c r="X86" i="26"/>
  <c r="X85" i="26" s="1"/>
  <c r="X52" i="26"/>
  <c r="X51" i="26"/>
  <c r="J94" i="37"/>
  <c r="X47" i="26"/>
  <c r="D46" i="37"/>
  <c r="D44" i="37"/>
  <c r="D68" i="37"/>
  <c r="D62" i="37"/>
  <c r="D60" i="37"/>
  <c r="D59" i="37"/>
  <c r="D69" i="37"/>
  <c r="D66" i="37"/>
  <c r="D65" i="37"/>
  <c r="D64" i="37"/>
  <c r="D61" i="37"/>
  <c r="D58" i="37"/>
  <c r="M98" i="37"/>
  <c r="F188" i="37"/>
  <c r="F187" i="37"/>
  <c r="D188" i="37"/>
  <c r="C188" i="37"/>
  <c r="D187" i="37"/>
  <c r="C187" i="37"/>
  <c r="B188" i="37"/>
  <c r="B187" i="37"/>
  <c r="F186" i="37"/>
  <c r="F185" i="37"/>
  <c r="F184" i="37"/>
  <c r="F183" i="37"/>
  <c r="F182" i="37"/>
  <c r="F181" i="37"/>
  <c r="F180" i="37"/>
  <c r="F179" i="37"/>
  <c r="F178" i="37"/>
  <c r="F177" i="37"/>
  <c r="F176" i="37"/>
  <c r="F175" i="37"/>
  <c r="F174" i="37"/>
  <c r="F173" i="37"/>
  <c r="F172" i="37"/>
  <c r="F171" i="37"/>
  <c r="F170" i="37"/>
  <c r="F169" i="37"/>
  <c r="F168" i="37"/>
  <c r="F167" i="37"/>
  <c r="F166" i="37"/>
  <c r="F165" i="37"/>
  <c r="F164" i="37"/>
  <c r="F163" i="37"/>
  <c r="F162" i="37"/>
  <c r="F161" i="37"/>
  <c r="F160" i="37"/>
  <c r="F159" i="37"/>
  <c r="F158" i="37"/>
  <c r="F157" i="37"/>
  <c r="F156" i="37"/>
  <c r="F155" i="37"/>
  <c r="F154" i="37"/>
  <c r="F153" i="37"/>
  <c r="F152" i="37"/>
  <c r="F151" i="37"/>
  <c r="F150" i="37"/>
  <c r="F149" i="37"/>
  <c r="F148" i="37"/>
  <c r="F147" i="37"/>
  <c r="F146" i="37"/>
  <c r="F145" i="37"/>
  <c r="F144" i="37"/>
  <c r="F143" i="37"/>
  <c r="F142" i="37"/>
  <c r="F141" i="37"/>
  <c r="F140" i="37"/>
  <c r="F139" i="37"/>
  <c r="F138" i="37"/>
  <c r="F137" i="37"/>
  <c r="F136" i="37"/>
  <c r="D186" i="37"/>
  <c r="C186" i="37"/>
  <c r="B186" i="37"/>
  <c r="D185" i="37"/>
  <c r="C185" i="37"/>
  <c r="B185" i="37"/>
  <c r="C184" i="37"/>
  <c r="B184" i="37"/>
  <c r="C183" i="37"/>
  <c r="B183" i="37"/>
  <c r="C182" i="37"/>
  <c r="B182" i="37"/>
  <c r="C181" i="37"/>
  <c r="B181" i="37"/>
  <c r="D180" i="37"/>
  <c r="C180" i="37"/>
  <c r="B180" i="37"/>
  <c r="C179" i="37"/>
  <c r="B179" i="37"/>
  <c r="C178" i="37"/>
  <c r="B178" i="37"/>
  <c r="D177" i="37"/>
  <c r="C177" i="37"/>
  <c r="B177" i="37"/>
  <c r="C176" i="37"/>
  <c r="B176" i="37"/>
  <c r="D175" i="37"/>
  <c r="C175" i="37"/>
  <c r="B175" i="37"/>
  <c r="D174" i="37"/>
  <c r="C174" i="37"/>
  <c r="B174" i="37"/>
  <c r="D173" i="37"/>
  <c r="C173" i="37"/>
  <c r="B173" i="37"/>
  <c r="D172" i="37"/>
  <c r="C172" i="37"/>
  <c r="B172" i="37"/>
  <c r="C171" i="37"/>
  <c r="B171" i="37"/>
  <c r="C170" i="37"/>
  <c r="B170" i="37"/>
  <c r="D169" i="37"/>
  <c r="C169" i="37"/>
  <c r="B169" i="37"/>
  <c r="C168" i="37"/>
  <c r="B168" i="37"/>
  <c r="C167" i="37"/>
  <c r="B167" i="37"/>
  <c r="D166" i="37"/>
  <c r="C166" i="37"/>
  <c r="B166" i="37"/>
  <c r="D165" i="37"/>
  <c r="C165" i="37"/>
  <c r="B165" i="37"/>
  <c r="D164" i="37"/>
  <c r="C164" i="37"/>
  <c r="B164" i="37"/>
  <c r="D163" i="37"/>
  <c r="C163" i="37"/>
  <c r="B163" i="37"/>
  <c r="D162" i="37"/>
  <c r="C162" i="37"/>
  <c r="B162" i="37"/>
  <c r="D161" i="37"/>
  <c r="C161" i="37"/>
  <c r="B161" i="37"/>
  <c r="D160" i="37"/>
  <c r="C160" i="37"/>
  <c r="B160" i="37"/>
  <c r="C159" i="37"/>
  <c r="B159" i="37"/>
  <c r="C158" i="37"/>
  <c r="B158" i="37"/>
  <c r="D157" i="37"/>
  <c r="C157" i="37"/>
  <c r="B157" i="37"/>
  <c r="C156" i="37"/>
  <c r="B156" i="37"/>
  <c r="C155" i="37"/>
  <c r="B155" i="37"/>
  <c r="D154" i="37"/>
  <c r="C154" i="37"/>
  <c r="B154" i="37"/>
  <c r="D153" i="37"/>
  <c r="C153" i="37"/>
  <c r="B153" i="37"/>
  <c r="D152" i="37"/>
  <c r="C152" i="37"/>
  <c r="B152" i="37"/>
  <c r="D151" i="37"/>
  <c r="C151" i="37"/>
  <c r="B151" i="37"/>
  <c r="D150" i="37"/>
  <c r="C150" i="37"/>
  <c r="B150" i="37"/>
  <c r="D149" i="37"/>
  <c r="C149" i="37"/>
  <c r="B149" i="37"/>
  <c r="D148" i="37"/>
  <c r="C148" i="37"/>
  <c r="B148" i="37"/>
  <c r="C147" i="37"/>
  <c r="B147" i="37"/>
  <c r="C146" i="37"/>
  <c r="B146" i="37"/>
  <c r="D145" i="37"/>
  <c r="C145" i="37"/>
  <c r="B145" i="37"/>
  <c r="C144" i="37"/>
  <c r="B144" i="37"/>
  <c r="C143" i="37"/>
  <c r="B143" i="37"/>
  <c r="C142" i="37"/>
  <c r="B142" i="37"/>
  <c r="C141" i="37"/>
  <c r="B141" i="37"/>
  <c r="C140" i="37"/>
  <c r="B140" i="37"/>
  <c r="C139" i="37"/>
  <c r="B139" i="37"/>
  <c r="D138" i="37"/>
  <c r="C138" i="37"/>
  <c r="B138" i="37"/>
  <c r="D137" i="37"/>
  <c r="C137" i="37"/>
  <c r="B137" i="37"/>
  <c r="D136" i="37"/>
  <c r="C136" i="37"/>
  <c r="B136" i="37"/>
  <c r="B135" i="37"/>
  <c r="B134" i="37"/>
  <c r="D133" i="37"/>
  <c r="D132" i="37"/>
  <c r="D131" i="37"/>
  <c r="D130" i="37"/>
  <c r="D129" i="37"/>
  <c r="D128" i="37"/>
  <c r="D127" i="37"/>
  <c r="D126" i="37"/>
  <c r="D125" i="37"/>
  <c r="D124" i="37"/>
  <c r="C133" i="37"/>
  <c r="B133" i="37"/>
  <c r="C132" i="37"/>
  <c r="B132" i="37"/>
  <c r="C131" i="37"/>
  <c r="B131" i="37"/>
  <c r="C130" i="37"/>
  <c r="B130" i="37"/>
  <c r="C129" i="37"/>
  <c r="B129" i="37"/>
  <c r="C128" i="37"/>
  <c r="B128" i="37"/>
  <c r="C127" i="37"/>
  <c r="B127" i="37"/>
  <c r="C126" i="37"/>
  <c r="B126" i="37"/>
  <c r="C125" i="37"/>
  <c r="B125" i="37"/>
  <c r="C124" i="37"/>
  <c r="B124" i="37"/>
  <c r="C123" i="37"/>
  <c r="B123" i="37"/>
  <c r="C122" i="37"/>
  <c r="B122" i="37"/>
  <c r="C121" i="37"/>
  <c r="B121" i="37"/>
  <c r="C120" i="37"/>
  <c r="B120" i="37"/>
  <c r="C119" i="37"/>
  <c r="B119" i="37"/>
  <c r="C118" i="37"/>
  <c r="B118" i="37"/>
  <c r="C117" i="37"/>
  <c r="B117" i="37"/>
  <c r="C116" i="37"/>
  <c r="B116" i="37"/>
  <c r="B115" i="37"/>
  <c r="G114" i="37"/>
  <c r="G113" i="37"/>
  <c r="G112" i="37"/>
  <c r="G111" i="37"/>
  <c r="E111" i="37"/>
  <c r="G110" i="37"/>
  <c r="G109" i="37"/>
  <c r="G108" i="37"/>
  <c r="C114" i="37"/>
  <c r="B114" i="37"/>
  <c r="C113" i="37"/>
  <c r="B113" i="37"/>
  <c r="C112" i="37"/>
  <c r="B112" i="37"/>
  <c r="C111" i="37"/>
  <c r="B111" i="37"/>
  <c r="C110" i="37"/>
  <c r="B110" i="37"/>
  <c r="C109" i="37"/>
  <c r="B109" i="37"/>
  <c r="C108" i="37"/>
  <c r="B108" i="37"/>
  <c r="B107" i="37"/>
  <c r="B106" i="37"/>
  <c r="C105" i="37"/>
  <c r="B105" i="37"/>
  <c r="C104" i="37"/>
  <c r="B104" i="37"/>
  <c r="C103" i="37"/>
  <c r="B103" i="37"/>
  <c r="C102" i="37"/>
  <c r="B102" i="37"/>
  <c r="C101" i="37"/>
  <c r="B101" i="37"/>
  <c r="C100" i="37"/>
  <c r="B100" i="37"/>
  <c r="B99" i="37"/>
  <c r="C92" i="37"/>
  <c r="B92" i="37"/>
  <c r="A92" i="37"/>
  <c r="C91" i="37"/>
  <c r="B91" i="37"/>
  <c r="A91" i="37"/>
  <c r="C90" i="37"/>
  <c r="B90" i="37"/>
  <c r="A90" i="37"/>
  <c r="C89" i="37"/>
  <c r="B89" i="37"/>
  <c r="A89" i="37"/>
  <c r="C88" i="37"/>
  <c r="B88" i="37"/>
  <c r="A88" i="37"/>
  <c r="C87" i="37"/>
  <c r="B87" i="37"/>
  <c r="A87" i="37"/>
  <c r="B86" i="37"/>
  <c r="A86" i="37"/>
  <c r="C82" i="37"/>
  <c r="B82" i="37"/>
  <c r="A82" i="37"/>
  <c r="C81" i="37"/>
  <c r="B81" i="37"/>
  <c r="A81" i="37"/>
  <c r="C80" i="37"/>
  <c r="B80" i="37"/>
  <c r="A80" i="37"/>
  <c r="C79" i="37"/>
  <c r="B79" i="37"/>
  <c r="A79" i="37"/>
  <c r="C78" i="37"/>
  <c r="B78" i="37"/>
  <c r="A78" i="37"/>
  <c r="C77" i="37"/>
  <c r="B77" i="37"/>
  <c r="A77" i="37"/>
  <c r="B76" i="37"/>
  <c r="A76" i="37"/>
  <c r="C75" i="37"/>
  <c r="B75" i="37"/>
  <c r="A75" i="37"/>
  <c r="C74" i="37"/>
  <c r="B74" i="37"/>
  <c r="A74" i="37"/>
  <c r="D73" i="37"/>
  <c r="C73" i="37"/>
  <c r="B73" i="37"/>
  <c r="A73" i="37"/>
  <c r="D72" i="37"/>
  <c r="C72" i="37"/>
  <c r="B72" i="37"/>
  <c r="A72" i="37"/>
  <c r="D71" i="37"/>
  <c r="C71" i="37"/>
  <c r="B71" i="37"/>
  <c r="A71" i="37"/>
  <c r="B70" i="37"/>
  <c r="A70" i="37"/>
  <c r="C69" i="37"/>
  <c r="B69" i="37"/>
  <c r="A69" i="37"/>
  <c r="C68" i="37"/>
  <c r="B68" i="37"/>
  <c r="A68" i="37"/>
  <c r="B67" i="37"/>
  <c r="A67" i="37"/>
  <c r="C66" i="37"/>
  <c r="B66" i="37"/>
  <c r="A66" i="37"/>
  <c r="C65" i="37"/>
  <c r="B65" i="37"/>
  <c r="A65" i="37"/>
  <c r="C64" i="37"/>
  <c r="B64" i="37"/>
  <c r="A64" i="37"/>
  <c r="B63" i="37"/>
  <c r="A63" i="37"/>
  <c r="C62" i="37"/>
  <c r="B62" i="37"/>
  <c r="A62" i="37"/>
  <c r="C61" i="37"/>
  <c r="B61" i="37"/>
  <c r="A61" i="37"/>
  <c r="C60" i="37"/>
  <c r="B60" i="37"/>
  <c r="A60" i="37"/>
  <c r="C59" i="37"/>
  <c r="B59" i="37"/>
  <c r="A59" i="37"/>
  <c r="C58" i="37"/>
  <c r="B58" i="37"/>
  <c r="A58" i="37"/>
  <c r="B57" i="37"/>
  <c r="A57" i="37"/>
  <c r="B56" i="37"/>
  <c r="A56" i="37"/>
  <c r="B55" i="37"/>
  <c r="A55" i="37"/>
  <c r="B52" i="37"/>
  <c r="A52" i="37"/>
  <c r="C48" i="37"/>
  <c r="B48" i="37"/>
  <c r="A48" i="37"/>
  <c r="C47" i="37"/>
  <c r="B47" i="37"/>
  <c r="A47" i="37"/>
  <c r="C46" i="37"/>
  <c r="B46" i="37"/>
  <c r="A46" i="37"/>
  <c r="C45" i="37"/>
  <c r="B45" i="37"/>
  <c r="A45" i="37"/>
  <c r="C44" i="37"/>
  <c r="B44" i="37"/>
  <c r="A44" i="37"/>
  <c r="C43" i="37"/>
  <c r="B43" i="37"/>
  <c r="A43" i="37"/>
  <c r="C42" i="37"/>
  <c r="B42" i="37"/>
  <c r="A42" i="37"/>
  <c r="B41" i="37"/>
  <c r="A41" i="37"/>
  <c r="B40" i="37"/>
  <c r="A40" i="37"/>
  <c r="C39" i="37"/>
  <c r="B39" i="37"/>
  <c r="A39" i="37"/>
  <c r="C38" i="37"/>
  <c r="B38" i="37"/>
  <c r="A38" i="37"/>
  <c r="C37" i="37"/>
  <c r="B37" i="37"/>
  <c r="A37" i="37"/>
  <c r="C36" i="37"/>
  <c r="B36" i="37"/>
  <c r="A36" i="37"/>
  <c r="C35" i="37"/>
  <c r="B35" i="37"/>
  <c r="A35" i="37"/>
  <c r="C34" i="37"/>
  <c r="B34" i="37"/>
  <c r="A34" i="37"/>
  <c r="B33" i="37"/>
  <c r="A33" i="37"/>
  <c r="C32" i="37"/>
  <c r="B32" i="37"/>
  <c r="A32" i="37"/>
  <c r="C31" i="37"/>
  <c r="B31" i="37"/>
  <c r="A31" i="37"/>
  <c r="C30" i="37"/>
  <c r="B30" i="37"/>
  <c r="A30" i="37"/>
  <c r="B29" i="37"/>
  <c r="A29" i="37"/>
  <c r="C28" i="37"/>
  <c r="B28" i="37"/>
  <c r="A28" i="37"/>
  <c r="C27" i="37"/>
  <c r="B27" i="37"/>
  <c r="A27" i="37"/>
  <c r="B26" i="37"/>
  <c r="A26" i="37"/>
  <c r="B25" i="37"/>
  <c r="A25" i="37"/>
  <c r="C24" i="37"/>
  <c r="B24" i="37"/>
  <c r="A24" i="37"/>
  <c r="C23" i="37"/>
  <c r="B23" i="37"/>
  <c r="A23" i="37"/>
  <c r="C22" i="37"/>
  <c r="B22" i="37"/>
  <c r="A22" i="37"/>
  <c r="C21" i="37"/>
  <c r="B21" i="37"/>
  <c r="A21" i="37"/>
  <c r="C20" i="37"/>
  <c r="B20" i="37"/>
  <c r="A20" i="37"/>
  <c r="B19" i="37"/>
  <c r="A19" i="37"/>
  <c r="C18" i="37"/>
  <c r="B18" i="37"/>
  <c r="A18" i="37"/>
  <c r="B17" i="37"/>
  <c r="A17" i="37"/>
  <c r="B16" i="37"/>
  <c r="A16" i="37"/>
  <c r="C15" i="37"/>
  <c r="B15" i="37"/>
  <c r="A15" i="37"/>
  <c r="C14" i="37"/>
  <c r="B14" i="37"/>
  <c r="A14" i="37"/>
  <c r="C13" i="37"/>
  <c r="B13" i="37"/>
  <c r="A13" i="37"/>
  <c r="B12" i="37"/>
  <c r="A12" i="37"/>
  <c r="C11" i="37"/>
  <c r="B11" i="37"/>
  <c r="A11" i="37"/>
  <c r="C10" i="37"/>
  <c r="B10" i="37"/>
  <c r="A10" i="37"/>
  <c r="A8" i="37"/>
  <c r="B8" i="37"/>
  <c r="A9" i="37"/>
  <c r="B9" i="37"/>
  <c r="B17" i="25"/>
  <c r="D87" i="37"/>
  <c r="D90" i="37"/>
  <c r="X92" i="26"/>
  <c r="D92" i="37"/>
  <c r="D88" i="37"/>
  <c r="D91" i="37"/>
  <c r="X94" i="26"/>
  <c r="X93" i="26"/>
  <c r="X91" i="26"/>
  <c r="X90" i="26"/>
  <c r="X89" i="26"/>
  <c r="X83" i="26"/>
  <c r="X84" i="26"/>
  <c r="D82" i="37"/>
  <c r="D81" i="37"/>
  <c r="D39" i="37"/>
  <c r="T34" i="31"/>
  <c r="X34" i="31" s="1"/>
  <c r="Y34" i="31" s="1"/>
  <c r="AA34" i="31" s="1"/>
  <c r="X17" i="31"/>
  <c r="Y17" i="31" s="1"/>
  <c r="AA17" i="31" s="1"/>
  <c r="T15" i="31"/>
  <c r="X15" i="31" s="1"/>
  <c r="Y15" i="31" s="1"/>
  <c r="AC15" i="31" s="1"/>
  <c r="K26" i="36"/>
  <c r="K25" i="36"/>
  <c r="K24" i="36"/>
  <c r="K23" i="36"/>
  <c r="K22" i="36"/>
  <c r="K21" i="36"/>
  <c r="K19" i="36"/>
  <c r="K18" i="36"/>
  <c r="K17" i="36"/>
  <c r="K16" i="36"/>
  <c r="K15" i="36"/>
  <c r="A67" i="35"/>
  <c r="A68" i="35" s="1"/>
  <c r="A69" i="35" s="1"/>
  <c r="A70" i="35" s="1"/>
  <c r="A71" i="35" s="1"/>
  <c r="A72" i="35" s="1"/>
  <c r="A73" i="35" s="1"/>
  <c r="A74" i="35" s="1"/>
  <c r="A75" i="35" s="1"/>
  <c r="A76" i="35" s="1"/>
  <c r="C65" i="35"/>
  <c r="A56" i="35"/>
  <c r="A57" i="35" s="1"/>
  <c r="A58" i="35" s="1"/>
  <c r="A59" i="35" s="1"/>
  <c r="A60" i="35" s="1"/>
  <c r="A61" i="35" s="1"/>
  <c r="A62" i="35" s="1"/>
  <c r="A63" i="35" s="1"/>
  <c r="A64" i="35" s="1"/>
  <c r="C54" i="35"/>
  <c r="G18" i="36" s="1"/>
  <c r="A44" i="35"/>
  <c r="A45" i="35" s="1"/>
  <c r="A46" i="35" s="1"/>
  <c r="A47" i="35" s="1"/>
  <c r="A48" i="35" s="1"/>
  <c r="A49" i="35" s="1"/>
  <c r="A50" i="35" s="1"/>
  <c r="A51" i="35" s="1"/>
  <c r="A52" i="35" s="1"/>
  <c r="A53" i="35" s="1"/>
  <c r="G17" i="36"/>
  <c r="A16" i="35"/>
  <c r="A17" i="35" s="1"/>
  <c r="A18" i="35" s="1"/>
  <c r="A19" i="35" s="1"/>
  <c r="A20" i="35" s="1"/>
  <c r="A21" i="35" s="1"/>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C14" i="35"/>
  <c r="C4" i="35"/>
  <c r="G15" i="36" s="1"/>
  <c r="A97" i="34"/>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C95" i="34"/>
  <c r="G26" i="36" s="1"/>
  <c r="C61" i="34"/>
  <c r="G25" i="36" s="1"/>
  <c r="C44" i="34"/>
  <c r="A34" i="34"/>
  <c r="A35" i="34" s="1"/>
  <c r="A36" i="34" s="1"/>
  <c r="A37" i="34" s="1"/>
  <c r="A38" i="34" s="1"/>
  <c r="A39" i="34" s="1"/>
  <c r="A40" i="34" s="1"/>
  <c r="A41" i="34" s="1"/>
  <c r="A42" i="34" s="1"/>
  <c r="A43" i="34" s="1"/>
  <c r="A45" i="34" s="1"/>
  <c r="A46" i="34" s="1"/>
  <c r="A47" i="34" s="1"/>
  <c r="A48" i="34" s="1"/>
  <c r="A49" i="34" s="1"/>
  <c r="A50" i="34" s="1"/>
  <c r="A51" i="34" s="1"/>
  <c r="A52" i="34" s="1"/>
  <c r="A53" i="34" s="1"/>
  <c r="A54" i="34" s="1"/>
  <c r="A55" i="34" s="1"/>
  <c r="A56" i="34" s="1"/>
  <c r="A57" i="34" s="1"/>
  <c r="A58" i="34" s="1"/>
  <c r="A59" i="34" s="1"/>
  <c r="A60"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G23" i="36"/>
  <c r="C21" i="34"/>
  <c r="G22" i="36" s="1"/>
  <c r="X48" i="31"/>
  <c r="Y48" i="31" s="1"/>
  <c r="X47" i="31"/>
  <c r="Y47" i="31" s="1"/>
  <c r="AA47" i="31" s="1"/>
  <c r="X46" i="31"/>
  <c r="Y46" i="31" s="1"/>
  <c r="AA46" i="31" s="1"/>
  <c r="X43" i="31"/>
  <c r="Y43" i="31" s="1"/>
  <c r="AA43" i="31" s="1"/>
  <c r="X42" i="31"/>
  <c r="Y42" i="31" s="1"/>
  <c r="AA42" i="31" s="1"/>
  <c r="X39" i="31"/>
  <c r="Y39" i="31" s="1"/>
  <c r="AA39" i="31" s="1"/>
  <c r="X38" i="31"/>
  <c r="Y38" i="31" s="1"/>
  <c r="AA38" i="31" s="1"/>
  <c r="X30" i="31"/>
  <c r="Y30" i="31" s="1"/>
  <c r="AA30" i="31" s="1"/>
  <c r="F22" i="30"/>
  <c r="E31" i="27" s="1"/>
  <c r="F20" i="30"/>
  <c r="E29" i="27" s="1"/>
  <c r="F17" i="30"/>
  <c r="E26" i="27" s="1"/>
  <c r="F128" i="37" s="1"/>
  <c r="E15" i="27"/>
  <c r="F117" i="37" s="1"/>
  <c r="E16" i="27"/>
  <c r="F118" i="37" s="1"/>
  <c r="E17" i="27"/>
  <c r="F119" i="37" s="1"/>
  <c r="E18" i="27"/>
  <c r="F120" i="37" s="1"/>
  <c r="E19" i="27"/>
  <c r="F121" i="37" s="1"/>
  <c r="E20" i="27"/>
  <c r="F122" i="37" s="1"/>
  <c r="E21" i="27"/>
  <c r="F123" i="37" s="1"/>
  <c r="E22" i="27"/>
  <c r="F22" i="27" s="1"/>
  <c r="K124" i="37" s="1"/>
  <c r="M124" i="37" s="1"/>
  <c r="E23" i="27"/>
  <c r="F23" i="27" s="1"/>
  <c r="K125" i="37" s="1"/>
  <c r="M125" i="37" s="1"/>
  <c r="E24" i="27"/>
  <c r="F24" i="27" s="1"/>
  <c r="K126" i="37" s="1"/>
  <c r="M126" i="37" s="1"/>
  <c r="E25" i="27"/>
  <c r="E27" i="27"/>
  <c r="F27" i="27" s="1"/>
  <c r="K129" i="37" s="1"/>
  <c r="M129" i="37" s="1"/>
  <c r="E28" i="27"/>
  <c r="F130" i="37" s="1"/>
  <c r="E30" i="27"/>
  <c r="F30" i="27" s="1"/>
  <c r="K132" i="37" s="1"/>
  <c r="E14" i="27"/>
  <c r="F116" i="37" s="1"/>
  <c r="E10" i="28"/>
  <c r="G10" i="28" s="1"/>
  <c r="J10" i="28" s="1"/>
  <c r="E11" i="28"/>
  <c r="G11" i="28" s="1"/>
  <c r="J11" i="28" s="1"/>
  <c r="E12" i="28"/>
  <c r="E13" i="28"/>
  <c r="G13" i="28" s="1"/>
  <c r="J13" i="28" s="1"/>
  <c r="E14" i="28"/>
  <c r="G14" i="28" s="1"/>
  <c r="E15" i="28"/>
  <c r="G15" i="28" s="1"/>
  <c r="E16" i="28"/>
  <c r="G16" i="28" s="1"/>
  <c r="E17" i="28"/>
  <c r="G17" i="28" s="1"/>
  <c r="E18" i="28"/>
  <c r="G18" i="28" s="1"/>
  <c r="E19" i="28"/>
  <c r="G19" i="28" s="1"/>
  <c r="E20" i="28"/>
  <c r="G20" i="28" s="1"/>
  <c r="E21" i="28"/>
  <c r="G21" i="28" s="1"/>
  <c r="E22" i="28"/>
  <c r="G22" i="28" s="1"/>
  <c r="E9" i="28"/>
  <c r="G9" i="28" s="1"/>
  <c r="E23" i="28"/>
  <c r="E24" i="28"/>
  <c r="G24" i="28" s="1"/>
  <c r="E8" i="28"/>
  <c r="G8" i="28" s="1"/>
  <c r="J8" i="28" s="1"/>
  <c r="F15" i="28"/>
  <c r="F16" i="28"/>
  <c r="F17" i="28"/>
  <c r="F18" i="28"/>
  <c r="F19" i="28"/>
  <c r="F20" i="28"/>
  <c r="F21" i="28"/>
  <c r="F22" i="28"/>
  <c r="F9" i="28"/>
  <c r="F23" i="28"/>
  <c r="F24" i="28"/>
  <c r="F14" i="28"/>
  <c r="D70" i="27"/>
  <c r="D69" i="27"/>
  <c r="D170" i="37" s="1"/>
  <c r="F64" i="27"/>
  <c r="K165" i="37" s="1"/>
  <c r="M165" i="37" s="1"/>
  <c r="F63" i="27"/>
  <c r="D38" i="27"/>
  <c r="F38" i="27" s="1"/>
  <c r="K139" i="37" s="1"/>
  <c r="M139" i="37" s="1"/>
  <c r="F37" i="27"/>
  <c r="K138" i="37" s="1"/>
  <c r="M138" i="37" s="1"/>
  <c r="F51" i="27"/>
  <c r="K152" i="37" s="1"/>
  <c r="M152" i="37" s="1"/>
  <c r="E7" i="24"/>
  <c r="F7" i="24" s="1"/>
  <c r="F14" i="24"/>
  <c r="D104" i="37"/>
  <c r="H12" i="30"/>
  <c r="H6" i="30"/>
  <c r="H7" i="30"/>
  <c r="H8" i="30"/>
  <c r="H9" i="30"/>
  <c r="H13" i="30"/>
  <c r="H14" i="30"/>
  <c r="H15" i="30"/>
  <c r="H16" i="30"/>
  <c r="H18" i="30"/>
  <c r="H19" i="30"/>
  <c r="H21" i="30"/>
  <c r="H5" i="30"/>
  <c r="D10" i="14"/>
  <c r="D9" i="14"/>
  <c r="G9" i="14" s="1"/>
  <c r="D11" i="14"/>
  <c r="D12" i="14"/>
  <c r="D13" i="14"/>
  <c r="F102" i="27"/>
  <c r="K188" i="37" s="1"/>
  <c r="C19" i="38" s="1"/>
  <c r="C25" i="28"/>
  <c r="M12" i="28" s="1"/>
  <c r="B12" i="39" s="1"/>
  <c r="F59" i="27"/>
  <c r="K160" i="37" s="1"/>
  <c r="M160" i="37" s="1"/>
  <c r="D58" i="27"/>
  <c r="D159" i="37" s="1"/>
  <c r="D57" i="27"/>
  <c r="D158" i="37" s="1"/>
  <c r="F56" i="27"/>
  <c r="K157" i="37" s="1"/>
  <c r="M157" i="37" s="1"/>
  <c r="D55" i="27"/>
  <c r="F55" i="27" s="1"/>
  <c r="K156" i="37" s="1"/>
  <c r="D54" i="27"/>
  <c r="D155" i="37" s="1"/>
  <c r="F52" i="27"/>
  <c r="K153" i="37" s="1"/>
  <c r="M153" i="37" s="1"/>
  <c r="F53" i="27"/>
  <c r="K154" i="37" s="1"/>
  <c r="M154" i="37" s="1"/>
  <c r="F50" i="27"/>
  <c r="K151" i="37" s="1"/>
  <c r="M151" i="37" s="1"/>
  <c r="F49" i="27"/>
  <c r="K150" i="37" s="1"/>
  <c r="M150" i="37" s="1"/>
  <c r="D78" i="27"/>
  <c r="F78" i="27" s="1"/>
  <c r="K179" i="37" s="1"/>
  <c r="M179" i="37" s="1"/>
  <c r="D77" i="27"/>
  <c r="F77" i="27" s="1"/>
  <c r="K178" i="37" s="1"/>
  <c r="M178" i="37" s="1"/>
  <c r="F76" i="27"/>
  <c r="K177" i="37" s="1"/>
  <c r="M177" i="37" s="1"/>
  <c r="D75" i="27"/>
  <c r="D39" i="27"/>
  <c r="D80" i="27" s="1"/>
  <c r="D81" i="27" s="1"/>
  <c r="F35" i="27"/>
  <c r="K136" i="37" s="1"/>
  <c r="M136" i="37" s="1"/>
  <c r="F36" i="27"/>
  <c r="K137" i="37" s="1"/>
  <c r="M137" i="37" s="1"/>
  <c r="F44" i="27"/>
  <c r="K145" i="37" s="1"/>
  <c r="M145" i="37" s="1"/>
  <c r="D45" i="27"/>
  <c r="F45" i="27" s="1"/>
  <c r="K146" i="37" s="1"/>
  <c r="M146" i="37" s="1"/>
  <c r="D46" i="27"/>
  <c r="D147" i="37"/>
  <c r="F47" i="27"/>
  <c r="K148" i="37" s="1"/>
  <c r="M148" i="37" s="1"/>
  <c r="F61" i="27"/>
  <c r="K162" i="37" s="1"/>
  <c r="M162" i="37" s="1"/>
  <c r="F62" i="27"/>
  <c r="K163" i="37" s="1"/>
  <c r="M163" i="37" s="1"/>
  <c r="F65" i="27"/>
  <c r="K166" i="37" s="1"/>
  <c r="M166" i="37" s="1"/>
  <c r="D66" i="27"/>
  <c r="D167" i="37" s="1"/>
  <c r="D67" i="27"/>
  <c r="F67" i="27" s="1"/>
  <c r="K168" i="37" s="1"/>
  <c r="M168" i="37" s="1"/>
  <c r="F68" i="27"/>
  <c r="K169" i="37" s="1"/>
  <c r="M169" i="37" s="1"/>
  <c r="F71" i="27"/>
  <c r="K172" i="37" s="1"/>
  <c r="M172" i="37" s="1"/>
  <c r="F85" i="27"/>
  <c r="K186" i="37" s="1"/>
  <c r="M186" i="37" s="1"/>
  <c r="F74" i="27"/>
  <c r="K175" i="37" s="1"/>
  <c r="M175" i="37" s="1"/>
  <c r="G4" i="29"/>
  <c r="G6" i="29"/>
  <c r="G7" i="29"/>
  <c r="G8" i="29"/>
  <c r="G9" i="29"/>
  <c r="G10" i="29"/>
  <c r="G11" i="29"/>
  <c r="G12" i="29"/>
  <c r="G13" i="29"/>
  <c r="G14" i="29"/>
  <c r="G15" i="29"/>
  <c r="G16" i="29"/>
  <c r="G17" i="29"/>
  <c r="G18" i="29"/>
  <c r="G5" i="29"/>
  <c r="G19" i="29"/>
  <c r="G20" i="29"/>
  <c r="H25" i="28"/>
  <c r="I25" i="28"/>
  <c r="F21" i="29"/>
  <c r="E21" i="29"/>
  <c r="D21" i="29"/>
  <c r="C21" i="29"/>
  <c r="K25" i="28"/>
  <c r="D25" i="28"/>
  <c r="X72" i="26"/>
  <c r="X73" i="26"/>
  <c r="X74" i="26"/>
  <c r="X75" i="26"/>
  <c r="X76" i="26"/>
  <c r="D74" i="37"/>
  <c r="D75" i="37"/>
  <c r="X69" i="26"/>
  <c r="X70" i="26"/>
  <c r="X65" i="26"/>
  <c r="X66" i="26"/>
  <c r="X67" i="26"/>
  <c r="X59" i="26"/>
  <c r="X60" i="26"/>
  <c r="X61" i="26"/>
  <c r="X62" i="26"/>
  <c r="X63" i="26"/>
  <c r="D105" i="37"/>
  <c r="D103" i="37"/>
  <c r="D102" i="37"/>
  <c r="D101" i="37"/>
  <c r="D100" i="37"/>
  <c r="D80" i="37"/>
  <c r="D79" i="37"/>
  <c r="D78" i="37"/>
  <c r="D77" i="37"/>
  <c r="D48" i="37"/>
  <c r="D47" i="37"/>
  <c r="D45" i="37"/>
  <c r="D43" i="37"/>
  <c r="D42" i="37"/>
  <c r="D38" i="37"/>
  <c r="D37" i="37"/>
  <c r="D36" i="37"/>
  <c r="D35" i="37"/>
  <c r="D34" i="37"/>
  <c r="D32" i="37"/>
  <c r="D31" i="37"/>
  <c r="D30" i="37"/>
  <c r="E27" i="37"/>
  <c r="D24" i="37"/>
  <c r="D23" i="37"/>
  <c r="D22" i="37"/>
  <c r="D21" i="37"/>
  <c r="E20" i="37"/>
  <c r="D18" i="37"/>
  <c r="D15" i="37"/>
  <c r="D14" i="37"/>
  <c r="E11" i="37"/>
  <c r="W27" i="26"/>
  <c r="W28" i="26"/>
  <c r="H28" i="37"/>
  <c r="X13" i="26"/>
  <c r="X14" i="26"/>
  <c r="X15" i="26"/>
  <c r="U18" i="26"/>
  <c r="J18" i="37" s="1"/>
  <c r="X18" i="26"/>
  <c r="X21" i="26"/>
  <c r="X22" i="26"/>
  <c r="X23" i="26"/>
  <c r="X24" i="26"/>
  <c r="X30" i="26"/>
  <c r="X31" i="26"/>
  <c r="X32" i="26"/>
  <c r="X34" i="26"/>
  <c r="X35" i="26"/>
  <c r="X36" i="26"/>
  <c r="X37" i="26"/>
  <c r="X38" i="26"/>
  <c r="X39" i="26"/>
  <c r="X42" i="26"/>
  <c r="X43" i="26"/>
  <c r="X44" i="26"/>
  <c r="X45" i="26"/>
  <c r="X46" i="26"/>
  <c r="X48" i="26"/>
  <c r="X49" i="26"/>
  <c r="X54" i="26"/>
  <c r="X55" i="26"/>
  <c r="X78" i="26"/>
  <c r="X79" i="26"/>
  <c r="X80" i="26"/>
  <c r="X82" i="26"/>
  <c r="X99" i="26"/>
  <c r="X100" i="26"/>
  <c r="X101" i="26"/>
  <c r="X102" i="26"/>
  <c r="X103" i="26"/>
  <c r="X104" i="26"/>
  <c r="B13" i="25"/>
  <c r="B12" i="25"/>
  <c r="B11" i="25"/>
  <c r="B10" i="25"/>
  <c r="B9" i="25"/>
  <c r="B8" i="25"/>
  <c r="D25" i="14"/>
  <c r="J18" i="14"/>
  <c r="J24" i="14"/>
  <c r="F8" i="24"/>
  <c r="F13" i="24"/>
  <c r="F17" i="24"/>
  <c r="F15" i="24"/>
  <c r="F12" i="24"/>
  <c r="F11" i="24"/>
  <c r="F18" i="24"/>
  <c r="F16" i="24"/>
  <c r="D8" i="14"/>
  <c r="D14" i="14"/>
  <c r="G14" i="14" s="1"/>
  <c r="H14" i="14" s="1"/>
  <c r="J14" i="14" s="1"/>
  <c r="D15" i="14"/>
  <c r="G15" i="14"/>
  <c r="H15" i="14" s="1"/>
  <c r="J15" i="14" s="1"/>
  <c r="D16" i="14"/>
  <c r="G16" i="14" s="1"/>
  <c r="D17" i="14"/>
  <c r="D19" i="14"/>
  <c r="G19" i="14" s="1"/>
  <c r="F19" i="14"/>
  <c r="D20" i="14"/>
  <c r="F20" i="14"/>
  <c r="D21" i="14"/>
  <c r="F21" i="14"/>
  <c r="D22" i="14"/>
  <c r="G22" i="14" s="1"/>
  <c r="F22" i="14"/>
  <c r="D23" i="14"/>
  <c r="G23" i="14" s="1"/>
  <c r="F23" i="14"/>
  <c r="H23" i="14" s="1"/>
  <c r="J23" i="14" s="1"/>
  <c r="D26" i="14"/>
  <c r="D27" i="14"/>
  <c r="G27" i="14" s="1"/>
  <c r="D28" i="14"/>
  <c r="G28" i="14" s="1"/>
  <c r="D29" i="14"/>
  <c r="D30" i="14"/>
  <c r="G30" i="14" s="1"/>
  <c r="H30" i="14" s="1"/>
  <c r="D31" i="14"/>
  <c r="X10" i="31"/>
  <c r="Y10" i="31" s="1"/>
  <c r="AC10" i="31" s="1"/>
  <c r="T16" i="31"/>
  <c r="X16" i="31" s="1"/>
  <c r="Y16" i="31" s="1"/>
  <c r="AG16" i="31" s="1"/>
  <c r="T13" i="31"/>
  <c r="X13" i="31" s="1"/>
  <c r="Y13" i="31" s="1"/>
  <c r="AE13" i="31" s="1"/>
  <c r="G24" i="36"/>
  <c r="C125" i="34"/>
  <c r="D89" i="37"/>
  <c r="F46" i="27"/>
  <c r="K147" i="37" s="1"/>
  <c r="M147" i="37" s="1"/>
  <c r="F84" i="27"/>
  <c r="K185" i="37" s="1"/>
  <c r="M185" i="37" s="1"/>
  <c r="X33" i="31"/>
  <c r="Y33" i="31" s="1"/>
  <c r="AA33" i="31" s="1"/>
  <c r="D13" i="37"/>
  <c r="U32" i="26"/>
  <c r="J32" i="37" s="1"/>
  <c r="J28" i="37"/>
  <c r="U92" i="26"/>
  <c r="J90" i="37" s="1"/>
  <c r="I28" i="37"/>
  <c r="U60" i="26"/>
  <c r="J59" i="37" s="1"/>
  <c r="U72" i="26"/>
  <c r="J71" i="37" s="1"/>
  <c r="U54" i="26"/>
  <c r="U91" i="26"/>
  <c r="J89" i="37" s="1"/>
  <c r="U47" i="26"/>
  <c r="U49" i="26"/>
  <c r="J48" i="37" s="1"/>
  <c r="U46" i="26"/>
  <c r="J46" i="37" s="1"/>
  <c r="J10" i="37"/>
  <c r="U20" i="26"/>
  <c r="J20" i="37" s="1"/>
  <c r="G19" i="36"/>
  <c r="F54" i="27"/>
  <c r="K155" i="37" s="1"/>
  <c r="M155" i="37" s="1"/>
  <c r="D156" i="37"/>
  <c r="M132" i="37"/>
  <c r="F8" i="27"/>
  <c r="L110" i="37" s="1"/>
  <c r="M110" i="37" s="1"/>
  <c r="H94" i="37"/>
  <c r="F10" i="27"/>
  <c r="F126" i="37"/>
  <c r="F124" i="37"/>
  <c r="T29" i="31"/>
  <c r="T31" i="31" s="1"/>
  <c r="X31" i="31" s="1"/>
  <c r="Y31" i="31" s="1"/>
  <c r="AC31" i="31" s="1"/>
  <c r="T11" i="31"/>
  <c r="X11" i="31" s="1"/>
  <c r="Y11" i="31" s="1"/>
  <c r="AC11" i="31" s="1"/>
  <c r="T21" i="31"/>
  <c r="X21" i="31" s="1"/>
  <c r="Y21" i="31" s="1"/>
  <c r="T18" i="31"/>
  <c r="X18" i="31" s="1"/>
  <c r="Y18" i="31" s="1"/>
  <c r="G26" i="14"/>
  <c r="H26" i="14" s="1"/>
  <c r="G12" i="28"/>
  <c r="J12" i="28" s="1"/>
  <c r="U103" i="26"/>
  <c r="J104" i="37" s="1"/>
  <c r="U27" i="26"/>
  <c r="J27" i="37" s="1"/>
  <c r="U104" i="26"/>
  <c r="J105" i="37" s="1"/>
  <c r="U15" i="26"/>
  <c r="J15" i="37" s="1"/>
  <c r="U69" i="26"/>
  <c r="J68" i="37" s="1"/>
  <c r="U24" i="26"/>
  <c r="J24" i="37" s="1"/>
  <c r="U93" i="26"/>
  <c r="J91" i="37" s="1"/>
  <c r="G17" i="14"/>
  <c r="C29" i="28"/>
  <c r="K191" i="37"/>
  <c r="C22" i="38" s="1"/>
  <c r="E22" i="38" s="1"/>
  <c r="G8" i="14"/>
  <c r="J48" i="27"/>
  <c r="E19" i="38"/>
  <c r="M156" i="37"/>
  <c r="F58" i="27"/>
  <c r="K159" i="37" s="1"/>
  <c r="M159" i="37" s="1"/>
  <c r="D178" i="37"/>
  <c r="G16" i="36"/>
  <c r="G20" i="14"/>
  <c r="S14" i="26"/>
  <c r="H14" i="37" s="1"/>
  <c r="S21" i="26"/>
  <c r="H21" i="37" s="1"/>
  <c r="S36" i="26"/>
  <c r="H36" i="37" s="1"/>
  <c r="S72" i="26"/>
  <c r="H71" i="37" s="1"/>
  <c r="S46" i="26"/>
  <c r="H46" i="37" s="1"/>
  <c r="S32" i="26"/>
  <c r="S89" i="26"/>
  <c r="H87" i="37"/>
  <c r="S80" i="26"/>
  <c r="H79" i="37" s="1"/>
  <c r="S91" i="26"/>
  <c r="H89" i="37" s="1"/>
  <c r="S63" i="26"/>
  <c r="H62" i="37" s="1"/>
  <c r="S49" i="26"/>
  <c r="H48" i="37" s="1"/>
  <c r="S61" i="26"/>
  <c r="H60" i="37" s="1"/>
  <c r="S66" i="26"/>
  <c r="H65" i="37" s="1"/>
  <c r="S43" i="26"/>
  <c r="H43" i="37" s="1"/>
  <c r="S93" i="26"/>
  <c r="H91" i="37" s="1"/>
  <c r="S35" i="26"/>
  <c r="H35" i="37" s="1"/>
  <c r="S38" i="26"/>
  <c r="H38" i="37" s="1"/>
  <c r="S22" i="26"/>
  <c r="H22" i="37" s="1"/>
  <c r="S47" i="26"/>
  <c r="S101" i="26"/>
  <c r="H102" i="37" s="1"/>
  <c r="S13" i="26"/>
  <c r="H13" i="37" s="1"/>
  <c r="S37" i="26"/>
  <c r="H37" i="37" s="1"/>
  <c r="S60" i="26"/>
  <c r="H59" i="37" s="1"/>
  <c r="S90" i="26"/>
  <c r="H88" i="37" s="1"/>
  <c r="S74" i="26"/>
  <c r="H73" i="37" s="1"/>
  <c r="S75" i="26"/>
  <c r="H74" i="37"/>
  <c r="S65" i="26"/>
  <c r="H64" i="37" s="1"/>
  <c r="S76" i="26"/>
  <c r="H75" i="37" s="1"/>
  <c r="S78" i="26"/>
  <c r="H77" i="37" s="1"/>
  <c r="S102" i="26"/>
  <c r="H103" i="37" s="1"/>
  <c r="S100" i="26"/>
  <c r="H101" i="37" s="1"/>
  <c r="L108" i="37"/>
  <c r="M108" i="37" s="1"/>
  <c r="X64" i="26"/>
  <c r="U11" i="26"/>
  <c r="J11" i="37" s="1"/>
  <c r="U39" i="26"/>
  <c r="J39" i="37" s="1"/>
  <c r="U84" i="26"/>
  <c r="J82" i="37" s="1"/>
  <c r="U63" i="26"/>
  <c r="J62" i="37" s="1"/>
  <c r="U75" i="26"/>
  <c r="J74" i="37" s="1"/>
  <c r="U30" i="26"/>
  <c r="J30" i="37" s="1"/>
  <c r="U36" i="26"/>
  <c r="J36" i="37" s="1"/>
  <c r="U66" i="26"/>
  <c r="J65" i="37"/>
  <c r="U62" i="26"/>
  <c r="J61" i="37" s="1"/>
  <c r="U74" i="26"/>
  <c r="J73" i="37" s="1"/>
  <c r="U67" i="26"/>
  <c r="J66" i="37" s="1"/>
  <c r="U48" i="26"/>
  <c r="J47" i="37" s="1"/>
  <c r="H32" i="37"/>
  <c r="AE15" i="31"/>
  <c r="H27" i="14"/>
  <c r="I27" i="14" s="1"/>
  <c r="F26" i="27"/>
  <c r="K128" i="37" s="1"/>
  <c r="M128" i="37" s="1"/>
  <c r="F10" i="24" l="1"/>
  <c r="X77" i="26"/>
  <c r="X50" i="26"/>
  <c r="H22" i="14"/>
  <c r="M40" i="26"/>
  <c r="H17" i="14"/>
  <c r="J17" i="14" s="1"/>
  <c r="J5" i="27"/>
  <c r="X29" i="31"/>
  <c r="Y29" i="31" s="1"/>
  <c r="AA29" i="31" s="1"/>
  <c r="X71" i="26"/>
  <c r="J79" i="27"/>
  <c r="C11" i="39"/>
  <c r="T10" i="26" s="1"/>
  <c r="T86" i="26" s="1"/>
  <c r="F133" i="37"/>
  <c r="F31" i="27"/>
  <c r="K133" i="37" s="1"/>
  <c r="M133" i="37" s="1"/>
  <c r="F131" i="37"/>
  <c r="F29" i="27"/>
  <c r="K131" i="37" s="1"/>
  <c r="M131" i="37" s="1"/>
  <c r="D43" i="27"/>
  <c r="F129" i="37"/>
  <c r="F125" i="37"/>
  <c r="X53" i="26"/>
  <c r="W26" i="26"/>
  <c r="K14" i="36"/>
  <c r="J73" i="27"/>
  <c r="J72" i="27" s="1"/>
  <c r="M57" i="26"/>
  <c r="M56" i="26" s="1"/>
  <c r="AC17" i="31"/>
  <c r="X33" i="26"/>
  <c r="I14" i="14"/>
  <c r="D146" i="37"/>
  <c r="H20" i="14"/>
  <c r="I20" i="14" s="1"/>
  <c r="M188" i="37"/>
  <c r="F11" i="27"/>
  <c r="L113" i="37" s="1"/>
  <c r="M113" i="37" s="1"/>
  <c r="D179" i="37"/>
  <c r="D139" i="37"/>
  <c r="F6" i="24"/>
  <c r="J20" i="28"/>
  <c r="AE18" i="31"/>
  <c r="AG18" i="31"/>
  <c r="X41" i="26"/>
  <c r="X40" i="26" s="1"/>
  <c r="F66" i="27"/>
  <c r="K167" i="37" s="1"/>
  <c r="M167" i="37" s="1"/>
  <c r="F12" i="27"/>
  <c r="L114" i="37" s="1"/>
  <c r="M114" i="37" s="1"/>
  <c r="I23" i="14"/>
  <c r="M191" i="37"/>
  <c r="J18" i="28"/>
  <c r="J27" i="14"/>
  <c r="D140" i="37"/>
  <c r="D41" i="27"/>
  <c r="G21" i="14"/>
  <c r="H21" i="14" s="1"/>
  <c r="J34" i="27"/>
  <c r="I33" i="27" s="1"/>
  <c r="J33" i="27" s="1"/>
  <c r="D42" i="27"/>
  <c r="F9" i="24"/>
  <c r="F19" i="24" s="1"/>
  <c r="D40" i="27"/>
  <c r="X68" i="26"/>
  <c r="I17" i="14"/>
  <c r="F69" i="27"/>
  <c r="K170" i="37" s="1"/>
  <c r="M170" i="37" s="1"/>
  <c r="G21" i="29"/>
  <c r="F80" i="27"/>
  <c r="F39" i="27"/>
  <c r="K140" i="37" s="1"/>
  <c r="M140" i="37" s="1"/>
  <c r="X12" i="26"/>
  <c r="H28" i="14"/>
  <c r="I28" i="14" s="1"/>
  <c r="D82" i="27"/>
  <c r="F28" i="27"/>
  <c r="K130" i="37" s="1"/>
  <c r="M130" i="37" s="1"/>
  <c r="D168" i="37"/>
  <c r="J9" i="27"/>
  <c r="J4" i="27" s="1"/>
  <c r="D17" i="25" s="1"/>
  <c r="AG13" i="31"/>
  <c r="H16" i="14"/>
  <c r="C77" i="35"/>
  <c r="X95" i="26"/>
  <c r="M8" i="26"/>
  <c r="J102" i="27"/>
  <c r="D21" i="25" s="1"/>
  <c r="E21" i="25" s="1"/>
  <c r="F21" i="25" s="1"/>
  <c r="G11" i="14"/>
  <c r="H11" i="14" s="1"/>
  <c r="F86" i="27"/>
  <c r="K187" i="37" s="1"/>
  <c r="C18" i="38" s="1"/>
  <c r="E18" i="38" s="1"/>
  <c r="J19" i="28"/>
  <c r="J15" i="28"/>
  <c r="F25" i="28"/>
  <c r="J16" i="28"/>
  <c r="J22" i="28"/>
  <c r="J14" i="28"/>
  <c r="J24" i="28"/>
  <c r="J17" i="28"/>
  <c r="J9" i="28"/>
  <c r="J21" i="28"/>
  <c r="J20" i="14"/>
  <c r="Q96" i="26" s="1"/>
  <c r="AC14" i="31"/>
  <c r="G23" i="28"/>
  <c r="J23" i="28" s="1"/>
  <c r="E25" i="28"/>
  <c r="J26" i="14"/>
  <c r="I26" i="14"/>
  <c r="G10" i="14"/>
  <c r="H10" i="14" s="1"/>
  <c r="F75" i="27"/>
  <c r="D176" i="37"/>
  <c r="K181" i="37"/>
  <c r="M181" i="37" s="1"/>
  <c r="D182" i="37"/>
  <c r="F81" i="27"/>
  <c r="K182" i="37" s="1"/>
  <c r="M182" i="37" s="1"/>
  <c r="AE21" i="31"/>
  <c r="AC21" i="31"/>
  <c r="G31" i="14"/>
  <c r="H31" i="14" s="1"/>
  <c r="H19" i="14"/>
  <c r="X98" i="26"/>
  <c r="J30" i="14"/>
  <c r="I30" i="14"/>
  <c r="K164" i="37"/>
  <c r="M164" i="37" s="1"/>
  <c r="I15" i="14"/>
  <c r="G29" i="14"/>
  <c r="H29" i="14" s="1"/>
  <c r="P28" i="26"/>
  <c r="AE48" i="31"/>
  <c r="AC48" i="31"/>
  <c r="AE16" i="31"/>
  <c r="L112" i="37"/>
  <c r="M112" i="37" s="1"/>
  <c r="T37" i="31"/>
  <c r="X37" i="31" s="1"/>
  <c r="Y37" i="31" s="1"/>
  <c r="AA37" i="31" s="1"/>
  <c r="T41" i="31"/>
  <c r="X41" i="31" s="1"/>
  <c r="Y41" i="31" s="1"/>
  <c r="AA41" i="31" s="1"/>
  <c r="F127" i="37"/>
  <c r="F25" i="27"/>
  <c r="K127" i="37" s="1"/>
  <c r="M127" i="37" s="1"/>
  <c r="M187" i="37"/>
  <c r="G25" i="14"/>
  <c r="H25" i="14" s="1"/>
  <c r="E109" i="37"/>
  <c r="F7" i="27"/>
  <c r="J60" i="27"/>
  <c r="F57" i="27"/>
  <c r="K158" i="37" s="1"/>
  <c r="M158" i="37" s="1"/>
  <c r="H8" i="14"/>
  <c r="X29" i="26"/>
  <c r="J86" i="27"/>
  <c r="D20" i="25" s="1"/>
  <c r="S23" i="26"/>
  <c r="H23" i="37" s="1"/>
  <c r="S94" i="26"/>
  <c r="H92" i="37" s="1"/>
  <c r="S27" i="26"/>
  <c r="H27" i="37" s="1"/>
  <c r="S18" i="26"/>
  <c r="H18" i="37" s="1"/>
  <c r="S48" i="26"/>
  <c r="H47" i="37" s="1"/>
  <c r="S69" i="26"/>
  <c r="H68" i="37" s="1"/>
  <c r="S30" i="26"/>
  <c r="H30" i="37" s="1"/>
  <c r="S84" i="26"/>
  <c r="H82" i="37" s="1"/>
  <c r="S70" i="26"/>
  <c r="H69" i="37" s="1"/>
  <c r="S24" i="26"/>
  <c r="H24" i="37" s="1"/>
  <c r="S67" i="26"/>
  <c r="H66" i="37" s="1"/>
  <c r="S44" i="26"/>
  <c r="H44" i="37" s="1"/>
  <c r="S34" i="26"/>
  <c r="H34" i="37" s="1"/>
  <c r="S39" i="26"/>
  <c r="H39" i="37" s="1"/>
  <c r="S83" i="26"/>
  <c r="H81" i="37" s="1"/>
  <c r="S42" i="26"/>
  <c r="H42" i="37" s="1"/>
  <c r="S104" i="26"/>
  <c r="H105" i="37" s="1"/>
  <c r="S54" i="26"/>
  <c r="S82" i="26"/>
  <c r="H80" i="37" s="1"/>
  <c r="S79" i="26"/>
  <c r="H78" i="37" s="1"/>
  <c r="H10" i="37"/>
  <c r="S20" i="26"/>
  <c r="S45" i="26"/>
  <c r="H45" i="37" s="1"/>
  <c r="S103" i="26"/>
  <c r="H104" i="37" s="1"/>
  <c r="S92" i="26"/>
  <c r="H90" i="37" s="1"/>
  <c r="S62" i="26"/>
  <c r="H61" i="37" s="1"/>
  <c r="S99" i="26"/>
  <c r="H100" i="37" s="1"/>
  <c r="S31" i="26"/>
  <c r="H31" i="37" s="1"/>
  <c r="S15" i="26"/>
  <c r="H15" i="37" s="1"/>
  <c r="S73" i="26"/>
  <c r="H72" i="37" s="1"/>
  <c r="S59" i="26"/>
  <c r="H58" i="37" s="1"/>
  <c r="J28" i="14"/>
  <c r="X58" i="26"/>
  <c r="X57" i="26" s="1"/>
  <c r="X56" i="26" s="1"/>
  <c r="G13" i="14"/>
  <c r="H13" i="14" s="1"/>
  <c r="F132" i="37"/>
  <c r="U80" i="26"/>
  <c r="J79" i="37" s="1"/>
  <c r="U102" i="26"/>
  <c r="J103" i="37" s="1"/>
  <c r="U70" i="26"/>
  <c r="J69" i="37" s="1"/>
  <c r="U82" i="26"/>
  <c r="J80" i="37" s="1"/>
  <c r="U34" i="26"/>
  <c r="J34" i="37" s="1"/>
  <c r="U31" i="26"/>
  <c r="J31" i="37" s="1"/>
  <c r="U83" i="26"/>
  <c r="J81" i="37" s="1"/>
  <c r="U44" i="26"/>
  <c r="J44" i="37" s="1"/>
  <c r="U78" i="26"/>
  <c r="J77" i="37" s="1"/>
  <c r="U23" i="26"/>
  <c r="J23" i="37" s="1"/>
  <c r="U61" i="26"/>
  <c r="J60" i="37" s="1"/>
  <c r="U22" i="26"/>
  <c r="J22" i="37" s="1"/>
  <c r="U13" i="26"/>
  <c r="J13" i="37" s="1"/>
  <c r="U79" i="26"/>
  <c r="J78" i="37" s="1"/>
  <c r="U37" i="26"/>
  <c r="J37" i="37" s="1"/>
  <c r="U65" i="26"/>
  <c r="J64" i="37" s="1"/>
  <c r="U42" i="26"/>
  <c r="J42" i="37" s="1"/>
  <c r="U38" i="26"/>
  <c r="J38" i="37" s="1"/>
  <c r="U100" i="26"/>
  <c r="J101" i="37" s="1"/>
  <c r="U99" i="26"/>
  <c r="J100" i="37" s="1"/>
  <c r="U94" i="26"/>
  <c r="J92" i="37" s="1"/>
  <c r="U90" i="26"/>
  <c r="J88" i="37" s="1"/>
  <c r="U89" i="26"/>
  <c r="J87" i="37" s="1"/>
  <c r="U43" i="26"/>
  <c r="J43" i="37" s="1"/>
  <c r="U35" i="26"/>
  <c r="J35" i="37" s="1"/>
  <c r="U21" i="26"/>
  <c r="J21" i="37" s="1"/>
  <c r="U73" i="26"/>
  <c r="J72" i="37" s="1"/>
  <c r="U101" i="26"/>
  <c r="J102" i="37" s="1"/>
  <c r="U76" i="26"/>
  <c r="J75" i="37" s="1"/>
  <c r="U45" i="26"/>
  <c r="J45" i="37" s="1"/>
  <c r="U14" i="26"/>
  <c r="J14" i="37" s="1"/>
  <c r="U59" i="26"/>
  <c r="J58" i="37" s="1"/>
  <c r="G12" i="14"/>
  <c r="H12" i="14"/>
  <c r="F70" i="27"/>
  <c r="K171" i="37" s="1"/>
  <c r="M171" i="37" s="1"/>
  <c r="D171" i="37"/>
  <c r="D181" i="37"/>
  <c r="D83" i="27"/>
  <c r="H9" i="14"/>
  <c r="M16" i="26"/>
  <c r="K20" i="36"/>
  <c r="K27" i="36" s="1"/>
  <c r="T19" i="31" s="1"/>
  <c r="I22" i="14" l="1"/>
  <c r="J22" i="14"/>
  <c r="T87" i="26"/>
  <c r="T31" i="26"/>
  <c r="I31" i="37" s="1"/>
  <c r="T24" i="26"/>
  <c r="I24" i="37" s="1"/>
  <c r="W10" i="26"/>
  <c r="T82" i="26"/>
  <c r="I80" i="37" s="1"/>
  <c r="T52" i="26"/>
  <c r="T63" i="26"/>
  <c r="I62" i="37" s="1"/>
  <c r="T72" i="26"/>
  <c r="I71" i="37" s="1"/>
  <c r="T90" i="26"/>
  <c r="I88" i="37" s="1"/>
  <c r="T75" i="26"/>
  <c r="I74" i="37" s="1"/>
  <c r="T22" i="26"/>
  <c r="I22" i="37" s="1"/>
  <c r="T48" i="26"/>
  <c r="I47" i="37" s="1"/>
  <c r="T11" i="26"/>
  <c r="I11" i="37" s="1"/>
  <c r="T94" i="26"/>
  <c r="I92" i="37" s="1"/>
  <c r="T27" i="26"/>
  <c r="I27" i="37" s="1"/>
  <c r="T46" i="26"/>
  <c r="I46" i="37" s="1"/>
  <c r="T99" i="26"/>
  <c r="I100" i="37" s="1"/>
  <c r="T45" i="26"/>
  <c r="I45" i="37" s="1"/>
  <c r="T38" i="26"/>
  <c r="I38" i="37" s="1"/>
  <c r="T83" i="26"/>
  <c r="I81" i="37" s="1"/>
  <c r="T21" i="26"/>
  <c r="I21" i="37" s="1"/>
  <c r="T20" i="26"/>
  <c r="I20" i="37" s="1"/>
  <c r="T84" i="26"/>
  <c r="I82" i="37" s="1"/>
  <c r="T80" i="26"/>
  <c r="I79" i="37" s="1"/>
  <c r="T54" i="26"/>
  <c r="T76" i="26"/>
  <c r="I75" i="37" s="1"/>
  <c r="T103" i="26"/>
  <c r="I104" i="37" s="1"/>
  <c r="T100" i="26"/>
  <c r="I101" i="37" s="1"/>
  <c r="T51" i="26"/>
  <c r="T97" i="26"/>
  <c r="I95" i="37" s="1"/>
  <c r="T47" i="26"/>
  <c r="T34" i="26"/>
  <c r="I34" i="37" s="1"/>
  <c r="T65" i="26"/>
  <c r="I64" i="37" s="1"/>
  <c r="T42" i="26"/>
  <c r="I42" i="37" s="1"/>
  <c r="T92" i="26"/>
  <c r="I90" i="37" s="1"/>
  <c r="T23" i="26"/>
  <c r="I23" i="37" s="1"/>
  <c r="T67" i="26"/>
  <c r="I66" i="37" s="1"/>
  <c r="T70" i="26"/>
  <c r="I69" i="37" s="1"/>
  <c r="T74" i="26"/>
  <c r="I73" i="37" s="1"/>
  <c r="T101" i="26"/>
  <c r="I102" i="37" s="1"/>
  <c r="T79" i="26"/>
  <c r="I78" i="37" s="1"/>
  <c r="T104" i="26"/>
  <c r="I105" i="37" s="1"/>
  <c r="T49" i="26"/>
  <c r="I48" i="37" s="1"/>
  <c r="T35" i="26"/>
  <c r="I35" i="37" s="1"/>
  <c r="T62" i="26"/>
  <c r="I61" i="37" s="1"/>
  <c r="T37" i="26"/>
  <c r="I37" i="37" s="1"/>
  <c r="T102" i="26"/>
  <c r="I103" i="37" s="1"/>
  <c r="I10" i="37"/>
  <c r="T73" i="26"/>
  <c r="I72" i="37" s="1"/>
  <c r="T32" i="26"/>
  <c r="I32" i="37" s="1"/>
  <c r="T15" i="26"/>
  <c r="I15" i="37" s="1"/>
  <c r="T91" i="26"/>
  <c r="I89" i="37" s="1"/>
  <c r="T18" i="26"/>
  <c r="I18" i="37" s="1"/>
  <c r="T44" i="26"/>
  <c r="I44" i="37" s="1"/>
  <c r="T30" i="26"/>
  <c r="I30" i="37" s="1"/>
  <c r="T14" i="26"/>
  <c r="I14" i="37" s="1"/>
  <c r="T78" i="26"/>
  <c r="I77" i="37" s="1"/>
  <c r="T89" i="26"/>
  <c r="I87" i="37" s="1"/>
  <c r="T60" i="26"/>
  <c r="I59" i="37" s="1"/>
  <c r="T61" i="26"/>
  <c r="I60" i="37" s="1"/>
  <c r="T93" i="26"/>
  <c r="I91" i="37" s="1"/>
  <c r="T59" i="26"/>
  <c r="I58" i="37" s="1"/>
  <c r="T36" i="26"/>
  <c r="I36" i="37" s="1"/>
  <c r="T69" i="26"/>
  <c r="I68" i="37" s="1"/>
  <c r="T39" i="26"/>
  <c r="I39" i="37" s="1"/>
  <c r="T96" i="26"/>
  <c r="I94" i="37" s="1"/>
  <c r="T13" i="26"/>
  <c r="I13" i="37" s="1"/>
  <c r="T43" i="26"/>
  <c r="I43" i="37" s="1"/>
  <c r="T66" i="26"/>
  <c r="I65" i="37" s="1"/>
  <c r="J32" i="27"/>
  <c r="D19" i="25" s="1"/>
  <c r="E19" i="25" s="1"/>
  <c r="E17" i="25"/>
  <c r="F17" i="25" s="1"/>
  <c r="M4" i="27"/>
  <c r="M6" i="27"/>
  <c r="D144" i="37"/>
  <c r="F43" i="27"/>
  <c r="K144" i="37" s="1"/>
  <c r="M144" i="37" s="1"/>
  <c r="J21" i="14"/>
  <c r="I21" i="14"/>
  <c r="F40" i="27"/>
  <c r="D141" i="37"/>
  <c r="T40" i="31"/>
  <c r="X40" i="31" s="1"/>
  <c r="Y40" i="31" s="1"/>
  <c r="AA40" i="31" s="1"/>
  <c r="T36" i="31"/>
  <c r="X36" i="31" s="1"/>
  <c r="Y36" i="31" s="1"/>
  <c r="AA36" i="31" s="1"/>
  <c r="F9" i="27"/>
  <c r="L111" i="37" s="1"/>
  <c r="M111" i="37" s="1"/>
  <c r="J16" i="14"/>
  <c r="I16" i="14"/>
  <c r="F42" i="27"/>
  <c r="K143" i="37" s="1"/>
  <c r="M143" i="37" s="1"/>
  <c r="D143" i="37"/>
  <c r="J25" i="28"/>
  <c r="D14" i="27" s="1"/>
  <c r="D19" i="27" s="1"/>
  <c r="D142" i="37"/>
  <c r="F41" i="27"/>
  <c r="K142" i="37" s="1"/>
  <c r="M142" i="37" s="1"/>
  <c r="J11" i="14"/>
  <c r="I11" i="14"/>
  <c r="AF10" i="31" s="1"/>
  <c r="AF11" i="31" s="1"/>
  <c r="AF13" i="31" s="1"/>
  <c r="AF14" i="31" s="1"/>
  <c r="AF15" i="31" s="1"/>
  <c r="AF16" i="31" s="1"/>
  <c r="AF17" i="31" s="1"/>
  <c r="AF18" i="31" s="1"/>
  <c r="AF19" i="31" s="1"/>
  <c r="AF21" i="31" s="1"/>
  <c r="AF22" i="31" s="1"/>
  <c r="AF23" i="31" s="1"/>
  <c r="AF25" i="31" s="1"/>
  <c r="AF26" i="31" s="1"/>
  <c r="AF29" i="31" s="1"/>
  <c r="AF30" i="31" s="1"/>
  <c r="AF31" i="31" s="1"/>
  <c r="AF33" i="31" s="1"/>
  <c r="AF34" i="31" s="1"/>
  <c r="AF36" i="31" s="1"/>
  <c r="AF37" i="31" s="1"/>
  <c r="AF38" i="31" s="1"/>
  <c r="AF39" i="31" s="1"/>
  <c r="AF40" i="31" s="1"/>
  <c r="AF41" i="31" s="1"/>
  <c r="AF42" i="31" s="1"/>
  <c r="AF43" i="31" s="1"/>
  <c r="AF45" i="31" s="1"/>
  <c r="AF46" i="31" s="1"/>
  <c r="AF47" i="31" s="1"/>
  <c r="AF48" i="31" s="1"/>
  <c r="AF51" i="31" s="1"/>
  <c r="AF52" i="31" s="1"/>
  <c r="D183" i="37"/>
  <c r="F82" i="27"/>
  <c r="K183" i="37" s="1"/>
  <c r="M183" i="37" s="1"/>
  <c r="G25" i="28"/>
  <c r="J25" i="14"/>
  <c r="I25" i="14"/>
  <c r="I29" i="14"/>
  <c r="J29" i="14"/>
  <c r="J10" i="14"/>
  <c r="I10" i="14"/>
  <c r="I9" i="14"/>
  <c r="J9" i="14"/>
  <c r="D184" i="37"/>
  <c r="F83" i="27"/>
  <c r="H11" i="37"/>
  <c r="M7" i="26"/>
  <c r="J19" i="14"/>
  <c r="I19" i="14"/>
  <c r="K176" i="37"/>
  <c r="M176" i="37" s="1"/>
  <c r="F73" i="27"/>
  <c r="D16" i="27"/>
  <c r="F48" i="27"/>
  <c r="K149" i="37" s="1"/>
  <c r="M149" i="37" s="1"/>
  <c r="M8" i="14"/>
  <c r="M6" i="14"/>
  <c r="M13" i="14"/>
  <c r="I31" i="14"/>
  <c r="J31" i="14"/>
  <c r="I8" i="14"/>
  <c r="Z10" i="31" s="1"/>
  <c r="J8" i="14"/>
  <c r="E28" i="37"/>
  <c r="F94" i="37"/>
  <c r="Q97" i="26"/>
  <c r="W96" i="26"/>
  <c r="J12" i="14"/>
  <c r="I12" i="14"/>
  <c r="H20" i="37"/>
  <c r="W20" i="26"/>
  <c r="E20" i="25"/>
  <c r="F20" i="25" s="1"/>
  <c r="L109" i="37"/>
  <c r="M109" i="37" s="1"/>
  <c r="F5" i="27"/>
  <c r="T26" i="31"/>
  <c r="X26" i="31" s="1"/>
  <c r="Y26" i="31" s="1"/>
  <c r="X19" i="31"/>
  <c r="Y19" i="31" s="1"/>
  <c r="AE19" i="31" s="1"/>
  <c r="T23" i="31"/>
  <c r="X23" i="31" s="1"/>
  <c r="Y23" i="31" s="1"/>
  <c r="AA23" i="31" s="1"/>
  <c r="T22" i="31"/>
  <c r="X22" i="31" s="1"/>
  <c r="Y22" i="31" s="1"/>
  <c r="T50" i="31"/>
  <c r="T45" i="31"/>
  <c r="X45" i="31" s="1"/>
  <c r="Y45" i="31" s="1"/>
  <c r="AA45" i="31" s="1"/>
  <c r="T25" i="31"/>
  <c r="X25" i="31" s="1"/>
  <c r="Y25" i="31" s="1"/>
  <c r="I13" i="14"/>
  <c r="J13" i="14"/>
  <c r="F60" i="27"/>
  <c r="K161" i="37" s="1"/>
  <c r="M161" i="37" s="1"/>
  <c r="W11" i="26" l="1"/>
  <c r="W9" i="26" s="1"/>
  <c r="F19" i="25"/>
  <c r="D116" i="37"/>
  <c r="D15" i="27"/>
  <c r="D117" i="37" s="1"/>
  <c r="D21" i="27"/>
  <c r="D17" i="27"/>
  <c r="H17" i="27" s="1"/>
  <c r="J17" i="27" s="1"/>
  <c r="D20" i="27"/>
  <c r="D122" i="37" s="1"/>
  <c r="AF50" i="31"/>
  <c r="F14" i="27"/>
  <c r="D18" i="27"/>
  <c r="F18" i="27" s="1"/>
  <c r="K120" i="37" s="1"/>
  <c r="M120" i="37" s="1"/>
  <c r="H14" i="27"/>
  <c r="J14" i="27" s="1"/>
  <c r="K141" i="37"/>
  <c r="M141" i="37" s="1"/>
  <c r="F33" i="27"/>
  <c r="K135" i="37" s="1"/>
  <c r="M135" i="37" s="1"/>
  <c r="AA25" i="31"/>
  <c r="AC25" i="31"/>
  <c r="D121" i="37"/>
  <c r="F19" i="27"/>
  <c r="K121" i="37" s="1"/>
  <c r="M121" i="37" s="1"/>
  <c r="H19" i="27"/>
  <c r="J19" i="27" s="1"/>
  <c r="T51" i="31"/>
  <c r="X51" i="31" s="1"/>
  <c r="Y51" i="31" s="1"/>
  <c r="X50" i="31"/>
  <c r="Y50" i="31" s="1"/>
  <c r="AE50" i="31" s="1"/>
  <c r="T52" i="31"/>
  <c r="X52" i="31" s="1"/>
  <c r="Y52" i="31" s="1"/>
  <c r="AE52" i="31" s="1"/>
  <c r="AG22" i="31"/>
  <c r="AE22" i="31"/>
  <c r="K94" i="37"/>
  <c r="M94" i="37" s="1"/>
  <c r="Y96" i="26"/>
  <c r="D118" i="37"/>
  <c r="H16" i="27"/>
  <c r="J16" i="27" s="1"/>
  <c r="F16" i="27"/>
  <c r="K118" i="37" s="1"/>
  <c r="M118" i="37" s="1"/>
  <c r="F21" i="27"/>
  <c r="K123" i="37" s="1"/>
  <c r="M123" i="37" s="1"/>
  <c r="D123" i="37"/>
  <c r="H21" i="27"/>
  <c r="J21" i="27" s="1"/>
  <c r="W97" i="26"/>
  <c r="W95" i="26" s="1"/>
  <c r="K93" i="37" s="1"/>
  <c r="M93" i="37" s="1"/>
  <c r="F95" i="37"/>
  <c r="L10" i="14"/>
  <c r="L6" i="14"/>
  <c r="L11" i="14"/>
  <c r="AB10" i="31"/>
  <c r="AB11" i="31" s="1"/>
  <c r="AB13" i="31" s="1"/>
  <c r="AB14" i="31" s="1"/>
  <c r="AB15" i="31" s="1"/>
  <c r="AB16" i="31" s="1"/>
  <c r="AB17" i="31" s="1"/>
  <c r="AB18" i="31" s="1"/>
  <c r="AB19" i="31" s="1"/>
  <c r="AB21" i="31" s="1"/>
  <c r="AB22" i="31" s="1"/>
  <c r="AB23" i="31" s="1"/>
  <c r="AB25" i="31" s="1"/>
  <c r="AB26" i="31" s="1"/>
  <c r="AB29" i="31" s="1"/>
  <c r="AB30" i="31" s="1"/>
  <c r="AB31" i="31" s="1"/>
  <c r="AB33" i="31" s="1"/>
  <c r="AB34" i="31" s="1"/>
  <c r="AB36" i="31" s="1"/>
  <c r="AB37" i="31" s="1"/>
  <c r="AB38" i="31" s="1"/>
  <c r="AB39" i="31" s="1"/>
  <c r="AB40" i="31" s="1"/>
  <c r="AB41" i="31" s="1"/>
  <c r="AB42" i="31" s="1"/>
  <c r="AB43" i="31" s="1"/>
  <c r="AB45" i="31" s="1"/>
  <c r="AB46" i="31" s="1"/>
  <c r="AB47" i="31" s="1"/>
  <c r="AB48" i="31" s="1"/>
  <c r="AB50" i="31" s="1"/>
  <c r="AB51" i="31" s="1"/>
  <c r="AB52" i="31" s="1"/>
  <c r="L8" i="14"/>
  <c r="Q30" i="26"/>
  <c r="D120" i="37"/>
  <c r="Q72" i="26"/>
  <c r="Q31" i="26"/>
  <c r="Q23" i="26"/>
  <c r="L7" i="14"/>
  <c r="Q13" i="26"/>
  <c r="Q18" i="26"/>
  <c r="Q55" i="26"/>
  <c r="W55" i="26" s="1"/>
  <c r="Q103" i="26"/>
  <c r="L14" i="14"/>
  <c r="Q35" i="26"/>
  <c r="Q43" i="26"/>
  <c r="L15" i="14"/>
  <c r="Q101" i="26"/>
  <c r="L16" i="14"/>
  <c r="L9" i="14"/>
  <c r="L17" i="14"/>
  <c r="Q22" i="26"/>
  <c r="AD10" i="31"/>
  <c r="AD11" i="31" s="1"/>
  <c r="AD13" i="31" s="1"/>
  <c r="AD14" i="31" s="1"/>
  <c r="AD15" i="31" s="1"/>
  <c r="AD16" i="31" s="1"/>
  <c r="AD17" i="31" s="1"/>
  <c r="AD18" i="31" s="1"/>
  <c r="AD19" i="31" s="1"/>
  <c r="AD21" i="31" s="1"/>
  <c r="AD22" i="31" s="1"/>
  <c r="AD23" i="31" s="1"/>
  <c r="AD25" i="31" s="1"/>
  <c r="AD26" i="31" s="1"/>
  <c r="AD29" i="31" s="1"/>
  <c r="AD30" i="31" s="1"/>
  <c r="AD31" i="31" s="1"/>
  <c r="AD33" i="31" s="1"/>
  <c r="AD34" i="31" s="1"/>
  <c r="AD36" i="31" s="1"/>
  <c r="AD37" i="31" s="1"/>
  <c r="AD38" i="31" s="1"/>
  <c r="AD39" i="31" s="1"/>
  <c r="AD40" i="31" s="1"/>
  <c r="AD41" i="31" s="1"/>
  <c r="AD42" i="31" s="1"/>
  <c r="AD43" i="31" s="1"/>
  <c r="AD45" i="31" s="1"/>
  <c r="AD46" i="31" s="1"/>
  <c r="AD47" i="31" s="1"/>
  <c r="AD48" i="31" s="1"/>
  <c r="AD50" i="31" s="1"/>
  <c r="AD51" i="31" s="1"/>
  <c r="AD52" i="31" s="1"/>
  <c r="Q73" i="26"/>
  <c r="Q89" i="26"/>
  <c r="Q59" i="26"/>
  <c r="Q67" i="26"/>
  <c r="Q63" i="26"/>
  <c r="Q74" i="26"/>
  <c r="R20" i="26"/>
  <c r="R28" i="26"/>
  <c r="Q21" i="26"/>
  <c r="Q104" i="26"/>
  <c r="Q42" i="26"/>
  <c r="R27" i="26"/>
  <c r="Q54" i="26"/>
  <c r="W54" i="26" s="1"/>
  <c r="R10" i="26"/>
  <c r="F20" i="27"/>
  <c r="K122" i="37" s="1"/>
  <c r="M122" i="37" s="1"/>
  <c r="Q51" i="26"/>
  <c r="Q86" i="26"/>
  <c r="F15" i="27"/>
  <c r="K117" i="37" s="1"/>
  <c r="M117" i="37" s="1"/>
  <c r="Z11" i="31"/>
  <c r="K174" i="37"/>
  <c r="M174" i="37" s="1"/>
  <c r="K184" i="37"/>
  <c r="M184" i="37" s="1"/>
  <c r="F79" i="27"/>
  <c r="K180" i="37" s="1"/>
  <c r="M180" i="37" s="1"/>
  <c r="AA26" i="31"/>
  <c r="AC26" i="31"/>
  <c r="L107" i="37"/>
  <c r="M107" i="37" s="1"/>
  <c r="F4" i="27"/>
  <c r="L106" i="37" s="1"/>
  <c r="K116" i="37"/>
  <c r="M116" i="37" s="1"/>
  <c r="Q78" i="26"/>
  <c r="L12" i="14"/>
  <c r="L19" i="14"/>
  <c r="Q76" i="26" s="1"/>
  <c r="Q100" i="26"/>
  <c r="Q99" i="26"/>
  <c r="L18" i="14"/>
  <c r="Q75" i="26"/>
  <c r="H20" i="27" l="1"/>
  <c r="J20" i="27" s="1"/>
  <c r="H18" i="27"/>
  <c r="J18" i="27" s="1"/>
  <c r="D119" i="37"/>
  <c r="F17" i="27"/>
  <c r="K119" i="37" s="1"/>
  <c r="M119" i="37" s="1"/>
  <c r="H15" i="27"/>
  <c r="J15" i="27" s="1"/>
  <c r="Z13" i="31"/>
  <c r="AH11" i="31"/>
  <c r="F43" i="37"/>
  <c r="W43" i="26"/>
  <c r="Q44" i="26"/>
  <c r="G28" i="37"/>
  <c r="X28" i="26"/>
  <c r="Q37" i="26"/>
  <c r="F35" i="37"/>
  <c r="W35" i="26"/>
  <c r="F21" i="37"/>
  <c r="W21" i="26"/>
  <c r="Q79" i="26"/>
  <c r="F77" i="37"/>
  <c r="W78" i="26"/>
  <c r="F13" i="27"/>
  <c r="K115" i="37" s="1"/>
  <c r="G20" i="37"/>
  <c r="X20" i="26"/>
  <c r="F104" i="37"/>
  <c r="W103" i="26"/>
  <c r="W74" i="26"/>
  <c r="F73" i="37"/>
  <c r="Q87" i="26"/>
  <c r="W87" i="26" s="1"/>
  <c r="W86" i="26"/>
  <c r="F66" i="37"/>
  <c r="W67" i="26"/>
  <c r="F18" i="37"/>
  <c r="W18" i="26"/>
  <c r="Y55" i="26"/>
  <c r="AB55" i="26" s="1"/>
  <c r="K54" i="37"/>
  <c r="M54" i="37" s="1"/>
  <c r="F58" i="37"/>
  <c r="Q62" i="26"/>
  <c r="Q65" i="26"/>
  <c r="Q60" i="26"/>
  <c r="W59" i="26"/>
  <c r="Q66" i="26"/>
  <c r="Q61" i="26"/>
  <c r="F87" i="37"/>
  <c r="Q93" i="26"/>
  <c r="Q92" i="26"/>
  <c r="W89" i="26"/>
  <c r="Q90" i="26"/>
  <c r="Q94" i="26"/>
  <c r="Q91" i="26"/>
  <c r="Y97" i="26"/>
  <c r="AB97" i="26" s="1"/>
  <c r="K95" i="37"/>
  <c r="M95" i="37" s="1"/>
  <c r="F23" i="37"/>
  <c r="W23" i="26"/>
  <c r="Q24" i="26"/>
  <c r="F22" i="37"/>
  <c r="W22" i="26"/>
  <c r="F71" i="37"/>
  <c r="W72" i="26"/>
  <c r="M106" i="37"/>
  <c r="D15" i="38"/>
  <c r="E15" i="38" s="1"/>
  <c r="W63" i="26"/>
  <c r="F62" i="37"/>
  <c r="F13" i="37"/>
  <c r="Q14" i="26"/>
  <c r="W13" i="26"/>
  <c r="AE51" i="31"/>
  <c r="AC51" i="31"/>
  <c r="X10" i="26"/>
  <c r="R11" i="26"/>
  <c r="G10" i="37"/>
  <c r="Q52" i="26"/>
  <c r="W52" i="26" s="1"/>
  <c r="W51" i="26"/>
  <c r="F74" i="37"/>
  <c r="W75" i="26"/>
  <c r="F72" i="27"/>
  <c r="K53" i="37"/>
  <c r="M53" i="37" s="1"/>
  <c r="W53" i="26"/>
  <c r="K52" i="37" s="1"/>
  <c r="M52" i="37" s="1"/>
  <c r="Y54" i="26"/>
  <c r="Q32" i="26"/>
  <c r="W31" i="26"/>
  <c r="F31" i="37"/>
  <c r="F100" i="37"/>
  <c r="Q102" i="26"/>
  <c r="W99" i="26"/>
  <c r="G27" i="37"/>
  <c r="X27" i="26"/>
  <c r="F72" i="37"/>
  <c r="W73" i="26"/>
  <c r="F101" i="37"/>
  <c r="W100" i="26"/>
  <c r="W30" i="26"/>
  <c r="F30" i="37"/>
  <c r="F42" i="37"/>
  <c r="W42" i="26"/>
  <c r="W101" i="26"/>
  <c r="F102" i="37"/>
  <c r="F75" i="37"/>
  <c r="W76" i="26"/>
  <c r="AH10" i="31"/>
  <c r="AH9" i="31" s="1"/>
  <c r="F105" i="37"/>
  <c r="W104" i="26"/>
  <c r="Q70" i="26"/>
  <c r="Q69" i="26"/>
  <c r="AB96" i="26"/>
  <c r="J13" i="27" l="1"/>
  <c r="D18" i="25" s="1"/>
  <c r="E18" i="25" s="1"/>
  <c r="F18" i="25" s="1"/>
  <c r="Y95" i="26"/>
  <c r="AB95" i="26" s="1"/>
  <c r="F92" i="37"/>
  <c r="W94" i="26"/>
  <c r="Y86" i="26"/>
  <c r="W85" i="26"/>
  <c r="K83" i="37" s="1"/>
  <c r="M83" i="37" s="1"/>
  <c r="K84" i="37"/>
  <c r="M84" i="37" s="1"/>
  <c r="Q80" i="26"/>
  <c r="F78" i="37"/>
  <c r="W79" i="26"/>
  <c r="Y31" i="26"/>
  <c r="AB31" i="26" s="1"/>
  <c r="K31" i="37"/>
  <c r="M31" i="37" s="1"/>
  <c r="Y101" i="26"/>
  <c r="AB101" i="26" s="1"/>
  <c r="K102" i="37"/>
  <c r="M102" i="37" s="1"/>
  <c r="F32" i="37"/>
  <c r="Q34" i="26"/>
  <c r="W32" i="26"/>
  <c r="K13" i="37"/>
  <c r="M13" i="37" s="1"/>
  <c r="Y13" i="26"/>
  <c r="W91" i="26"/>
  <c r="F89" i="37"/>
  <c r="Y18" i="26"/>
  <c r="K18" i="37"/>
  <c r="M18" i="37" s="1"/>
  <c r="Y21" i="26"/>
  <c r="AB21" i="26" s="1"/>
  <c r="K21" i="37"/>
  <c r="M21" i="37" s="1"/>
  <c r="W19" i="26"/>
  <c r="K35" i="37"/>
  <c r="M35" i="37" s="1"/>
  <c r="Y35" i="26"/>
  <c r="AB35" i="26" s="1"/>
  <c r="Y89" i="26"/>
  <c r="K87" i="37"/>
  <c r="M87" i="37" s="1"/>
  <c r="W14" i="26"/>
  <c r="Q15" i="26"/>
  <c r="F14" i="37"/>
  <c r="Y75" i="26"/>
  <c r="AB75" i="26" s="1"/>
  <c r="K74" i="37"/>
  <c r="M74" i="37" s="1"/>
  <c r="K66" i="37"/>
  <c r="M66" i="37" s="1"/>
  <c r="Y67" i="26"/>
  <c r="AB67" i="26" s="1"/>
  <c r="F91" i="37"/>
  <c r="W93" i="26"/>
  <c r="K71" i="37"/>
  <c r="M71" i="37" s="1"/>
  <c r="W71" i="26"/>
  <c r="K70" i="37" s="1"/>
  <c r="M70" i="37" s="1"/>
  <c r="Y72" i="26"/>
  <c r="F60" i="37"/>
  <c r="W61" i="26"/>
  <c r="K73" i="37"/>
  <c r="M73" i="37" s="1"/>
  <c r="Y74" i="26"/>
  <c r="AB74" i="26" s="1"/>
  <c r="W44" i="26"/>
  <c r="F44" i="37"/>
  <c r="Q45" i="26"/>
  <c r="Y42" i="26"/>
  <c r="K42" i="37"/>
  <c r="M42" i="37" s="1"/>
  <c r="K173" i="37"/>
  <c r="M173" i="37" s="1"/>
  <c r="F32" i="27"/>
  <c r="K134" i="37" s="1"/>
  <c r="L28" i="37"/>
  <c r="M28" i="37" s="1"/>
  <c r="Y28" i="26"/>
  <c r="AB28" i="26" s="1"/>
  <c r="Q83" i="26"/>
  <c r="W69" i="26"/>
  <c r="F68" i="37"/>
  <c r="F65" i="37"/>
  <c r="W66" i="26"/>
  <c r="K104" i="37"/>
  <c r="M104" i="37" s="1"/>
  <c r="Y103" i="26"/>
  <c r="AB103" i="26" s="1"/>
  <c r="K43" i="37"/>
  <c r="M43" i="37" s="1"/>
  <c r="Y43" i="26"/>
  <c r="AB43" i="26" s="1"/>
  <c r="W92" i="26"/>
  <c r="F90" i="37"/>
  <c r="K101" i="37"/>
  <c r="M101" i="37" s="1"/>
  <c r="Y100" i="26"/>
  <c r="AB100" i="26" s="1"/>
  <c r="Y87" i="26"/>
  <c r="AB87" i="26" s="1"/>
  <c r="K85" i="37"/>
  <c r="M85" i="37" s="1"/>
  <c r="K72" i="37"/>
  <c r="M72" i="37" s="1"/>
  <c r="Y73" i="26"/>
  <c r="AB73" i="26" s="1"/>
  <c r="Y51" i="26"/>
  <c r="W50" i="26"/>
  <c r="K49" i="37" s="1"/>
  <c r="M49" i="37" s="1"/>
  <c r="K50" i="37"/>
  <c r="M50" i="37" s="1"/>
  <c r="W70" i="26"/>
  <c r="F69" i="37"/>
  <c r="L27" i="37"/>
  <c r="M27" i="37" s="1"/>
  <c r="X26" i="26"/>
  <c r="Y27" i="26"/>
  <c r="K51" i="37"/>
  <c r="M51" i="37" s="1"/>
  <c r="Y52" i="26"/>
  <c r="AB52" i="26" s="1"/>
  <c r="K22" i="37"/>
  <c r="M22" i="37" s="1"/>
  <c r="Y22" i="26"/>
  <c r="AB22" i="26" s="1"/>
  <c r="Y59" i="26"/>
  <c r="K58" i="37"/>
  <c r="M58" i="37" s="1"/>
  <c r="X19" i="26"/>
  <c r="L20" i="37"/>
  <c r="M20" i="37" s="1"/>
  <c r="Y20" i="26"/>
  <c r="AB20" i="26" s="1"/>
  <c r="AB54" i="26"/>
  <c r="Y53" i="26"/>
  <c r="AB53" i="26" s="1"/>
  <c r="F88" i="37"/>
  <c r="W90" i="26"/>
  <c r="Y30" i="26"/>
  <c r="K30" i="37"/>
  <c r="M30" i="37" s="1"/>
  <c r="Y63" i="26"/>
  <c r="AB63" i="26" s="1"/>
  <c r="K62" i="37"/>
  <c r="M62" i="37" s="1"/>
  <c r="K105" i="37"/>
  <c r="M105" i="37" s="1"/>
  <c r="Y104" i="26"/>
  <c r="AB104" i="26" s="1"/>
  <c r="K100" i="37"/>
  <c r="M100" i="37" s="1"/>
  <c r="Y99" i="26"/>
  <c r="G11" i="37"/>
  <c r="X11" i="26"/>
  <c r="X9" i="26" s="1"/>
  <c r="F24" i="37"/>
  <c r="W24" i="26"/>
  <c r="F64" i="37"/>
  <c r="W65" i="26"/>
  <c r="Z14" i="31"/>
  <c r="AH13" i="31"/>
  <c r="F59" i="37"/>
  <c r="W60" i="26"/>
  <c r="F103" i="37"/>
  <c r="W102" i="26"/>
  <c r="W98" i="26" s="1"/>
  <c r="K99" i="37" s="1"/>
  <c r="L10" i="37"/>
  <c r="M10" i="37" s="1"/>
  <c r="Y10" i="26"/>
  <c r="Y23" i="26"/>
  <c r="AB23" i="26" s="1"/>
  <c r="K23" i="37"/>
  <c r="M23" i="37" s="1"/>
  <c r="W62" i="26"/>
  <c r="F61" i="37"/>
  <c r="M115" i="37"/>
  <c r="C16" i="38"/>
  <c r="E16" i="38" s="1"/>
  <c r="Q39" i="26"/>
  <c r="F37" i="37"/>
  <c r="Q38" i="26"/>
  <c r="W37" i="26"/>
  <c r="Y76" i="26"/>
  <c r="AB76" i="26" s="1"/>
  <c r="K75" i="37"/>
  <c r="M75" i="37" s="1"/>
  <c r="Y78" i="26"/>
  <c r="K77" i="37"/>
  <c r="M77" i="37" s="1"/>
  <c r="W88" i="26" l="1"/>
  <c r="K86" i="37" s="1"/>
  <c r="M86" i="37" s="1"/>
  <c r="X8" i="26"/>
  <c r="L9" i="37"/>
  <c r="M9" i="37" s="1"/>
  <c r="AB10" i="26"/>
  <c r="Y44" i="26"/>
  <c r="AB44" i="26" s="1"/>
  <c r="K44" i="37"/>
  <c r="M44" i="37" s="1"/>
  <c r="Y14" i="26"/>
  <c r="AB14" i="26" s="1"/>
  <c r="K14" i="37"/>
  <c r="M14" i="37" s="1"/>
  <c r="Y32" i="26"/>
  <c r="AB32" i="26" s="1"/>
  <c r="K32" i="37"/>
  <c r="M32" i="37" s="1"/>
  <c r="Y62" i="26"/>
  <c r="AB62" i="26" s="1"/>
  <c r="K61" i="37"/>
  <c r="M61" i="37" s="1"/>
  <c r="C14" i="38"/>
  <c r="E14" i="38" s="1"/>
  <c r="M99" i="37"/>
  <c r="X17" i="26"/>
  <c r="L19" i="37"/>
  <c r="Y19" i="26"/>
  <c r="AB19" i="26" s="1"/>
  <c r="K19" i="37"/>
  <c r="W64" i="26"/>
  <c r="K63" i="37" s="1"/>
  <c r="M63" i="37" s="1"/>
  <c r="Y65" i="26"/>
  <c r="K64" i="37"/>
  <c r="M64" i="37" s="1"/>
  <c r="Y90" i="26"/>
  <c r="AB90" i="26" s="1"/>
  <c r="K88" i="37"/>
  <c r="M88" i="37" s="1"/>
  <c r="Y24" i="26"/>
  <c r="AB24" i="26" s="1"/>
  <c r="K24" i="37"/>
  <c r="M24" i="37" s="1"/>
  <c r="K69" i="37"/>
  <c r="M69" i="37" s="1"/>
  <c r="Y70" i="26"/>
  <c r="AB70" i="26" s="1"/>
  <c r="K65" i="37"/>
  <c r="M65" i="37" s="1"/>
  <c r="Y66" i="26"/>
  <c r="AB66" i="26" s="1"/>
  <c r="Q36" i="26"/>
  <c r="F34" i="37"/>
  <c r="W34" i="26"/>
  <c r="K60" i="37"/>
  <c r="M60" i="37" s="1"/>
  <c r="Y61" i="26"/>
  <c r="AB61" i="26" s="1"/>
  <c r="AB89" i="26"/>
  <c r="Y50" i="26"/>
  <c r="AB50" i="26" s="1"/>
  <c r="AB51" i="26"/>
  <c r="W68" i="26"/>
  <c r="K67" i="37" s="1"/>
  <c r="M67" i="37" s="1"/>
  <c r="K68" i="37"/>
  <c r="M68" i="37" s="1"/>
  <c r="Y69" i="26"/>
  <c r="Y71" i="26"/>
  <c r="AB71" i="26" s="1"/>
  <c r="AB72" i="26"/>
  <c r="AB59" i="26"/>
  <c r="K91" i="37"/>
  <c r="M91" i="37" s="1"/>
  <c r="Y93" i="26"/>
  <c r="AB93" i="26" s="1"/>
  <c r="K78" i="37"/>
  <c r="M78" i="37" s="1"/>
  <c r="Y79" i="26"/>
  <c r="AB79" i="26" s="1"/>
  <c r="AB78" i="26"/>
  <c r="C17" i="38"/>
  <c r="E17" i="38" s="1"/>
  <c r="M134" i="37"/>
  <c r="W17" i="26"/>
  <c r="Q82" i="26"/>
  <c r="W80" i="26"/>
  <c r="Q84" i="26"/>
  <c r="F79" i="37"/>
  <c r="AB99" i="26"/>
  <c r="AB18" i="26"/>
  <c r="L11" i="37"/>
  <c r="M11" i="37" s="1"/>
  <c r="Y11" i="26"/>
  <c r="AB11" i="26" s="1"/>
  <c r="W83" i="26"/>
  <c r="F81" i="37"/>
  <c r="AB42" i="26"/>
  <c r="Y92" i="26"/>
  <c r="AB92" i="26" s="1"/>
  <c r="K90" i="37"/>
  <c r="M90" i="37" s="1"/>
  <c r="Y91" i="26"/>
  <c r="AB91" i="26" s="1"/>
  <c r="K89" i="37"/>
  <c r="M89" i="37" s="1"/>
  <c r="Y85" i="26"/>
  <c r="AB85" i="26" s="1"/>
  <c r="AB86" i="26"/>
  <c r="K103" i="37"/>
  <c r="M103" i="37" s="1"/>
  <c r="Y102" i="26"/>
  <c r="AB102" i="26" s="1"/>
  <c r="W58" i="26"/>
  <c r="K37" i="37"/>
  <c r="M37" i="37" s="1"/>
  <c r="Y37" i="26"/>
  <c r="AB37" i="26" s="1"/>
  <c r="Y60" i="26"/>
  <c r="AB60" i="26" s="1"/>
  <c r="K59" i="37"/>
  <c r="M59" i="37" s="1"/>
  <c r="F38" i="37"/>
  <c r="W38" i="26"/>
  <c r="W29" i="26"/>
  <c r="Y26" i="26"/>
  <c r="AB27" i="26"/>
  <c r="W45" i="26"/>
  <c r="Q46" i="26"/>
  <c r="F45" i="37"/>
  <c r="Q47" i="26"/>
  <c r="W47" i="26" s="1"/>
  <c r="Y47" i="26" s="1"/>
  <c r="AB47" i="26" s="1"/>
  <c r="AB13" i="26"/>
  <c r="Y94" i="26"/>
  <c r="AB94" i="26" s="1"/>
  <c r="K92" i="37"/>
  <c r="M92" i="37" s="1"/>
  <c r="W39" i="26"/>
  <c r="F39" i="37"/>
  <c r="Z15" i="31"/>
  <c r="AH14" i="31"/>
  <c r="AB30" i="26"/>
  <c r="L26" i="37"/>
  <c r="M26" i="37" s="1"/>
  <c r="X25" i="26"/>
  <c r="L25" i="37" s="1"/>
  <c r="W15" i="26"/>
  <c r="F15" i="37"/>
  <c r="Y29" i="26" l="1"/>
  <c r="AB29" i="26" s="1"/>
  <c r="Y58" i="26"/>
  <c r="AB58" i="26" s="1"/>
  <c r="K15" i="37"/>
  <c r="M15" i="37" s="1"/>
  <c r="Y15" i="26"/>
  <c r="Y34" i="26"/>
  <c r="K34" i="37"/>
  <c r="M34" i="37" s="1"/>
  <c r="Y68" i="26"/>
  <c r="AB68" i="26" s="1"/>
  <c r="AB69" i="26"/>
  <c r="Z16" i="31"/>
  <c r="AH15" i="31"/>
  <c r="X16" i="26"/>
  <c r="L16" i="37" s="1"/>
  <c r="D9" i="38" s="1"/>
  <c r="L17" i="37"/>
  <c r="W36" i="26"/>
  <c r="F36" i="37"/>
  <c r="Q48" i="26"/>
  <c r="F46" i="37"/>
  <c r="W46" i="26"/>
  <c r="K45" i="37"/>
  <c r="M45" i="37" s="1"/>
  <c r="Y45" i="26"/>
  <c r="K57" i="37"/>
  <c r="M57" i="37" s="1"/>
  <c r="W57" i="26"/>
  <c r="Y17" i="26"/>
  <c r="W12" i="26"/>
  <c r="Y98" i="26"/>
  <c r="K79" i="37"/>
  <c r="M79" i="37" s="1"/>
  <c r="Y80" i="26"/>
  <c r="AB26" i="26"/>
  <c r="F80" i="37"/>
  <c r="W82" i="26"/>
  <c r="W25" i="26"/>
  <c r="K25" i="37" s="1"/>
  <c r="M25" i="37" s="1"/>
  <c r="K29" i="37"/>
  <c r="M29" i="37" s="1"/>
  <c r="K17" i="37"/>
  <c r="K38" i="37"/>
  <c r="M38" i="37" s="1"/>
  <c r="Y38" i="26"/>
  <c r="AB38" i="26" s="1"/>
  <c r="Y88" i="26"/>
  <c r="AB88" i="26" s="1"/>
  <c r="Y64" i="26"/>
  <c r="AB64" i="26" s="1"/>
  <c r="AB65" i="26"/>
  <c r="Y9" i="26"/>
  <c r="AB9" i="26" s="1"/>
  <c r="M19" i="37"/>
  <c r="F82" i="37"/>
  <c r="W84" i="26"/>
  <c r="K39" i="37"/>
  <c r="M39" i="37" s="1"/>
  <c r="Y39" i="26"/>
  <c r="AB39" i="26" s="1"/>
  <c r="K81" i="37"/>
  <c r="M81" i="37" s="1"/>
  <c r="Y83" i="26"/>
  <c r="AB83" i="26" s="1"/>
  <c r="L8" i="37"/>
  <c r="Y25" i="26" l="1"/>
  <c r="AB25" i="26" s="1"/>
  <c r="W77" i="26"/>
  <c r="K76" i="37" s="1"/>
  <c r="M76" i="37" s="1"/>
  <c r="W16" i="26"/>
  <c r="K16" i="37" s="1"/>
  <c r="C9" i="38" s="1"/>
  <c r="E9" i="38" s="1"/>
  <c r="K46" i="37"/>
  <c r="M46" i="37" s="1"/>
  <c r="Y46" i="26"/>
  <c r="AB46" i="26" s="1"/>
  <c r="K82" i="37"/>
  <c r="M82" i="37" s="1"/>
  <c r="Y84" i="26"/>
  <c r="AB84" i="26" s="1"/>
  <c r="W48" i="26"/>
  <c r="Q49" i="26"/>
  <c r="F47" i="37"/>
  <c r="K36" i="37"/>
  <c r="M36" i="37" s="1"/>
  <c r="Y36" i="26"/>
  <c r="AB36" i="26" s="1"/>
  <c r="AH16" i="31"/>
  <c r="Z17" i="31"/>
  <c r="Y57" i="26"/>
  <c r="AB80" i="26"/>
  <c r="AB17" i="26"/>
  <c r="W33" i="26"/>
  <c r="K33" i="37" s="1"/>
  <c r="D13" i="25"/>
  <c r="AB98" i="26"/>
  <c r="K56" i="37"/>
  <c r="M56" i="37" s="1"/>
  <c r="K12" i="37"/>
  <c r="M12" i="37" s="1"/>
  <c r="W8" i="26"/>
  <c r="M17" i="37"/>
  <c r="L7" i="37"/>
  <c r="L6" i="37" s="1"/>
  <c r="D8" i="38"/>
  <c r="D7" i="38" s="1"/>
  <c r="D6" i="38" s="1"/>
  <c r="AB34" i="26"/>
  <c r="X7" i="26"/>
  <c r="AB45" i="26"/>
  <c r="AB15" i="26"/>
  <c r="Y12" i="26"/>
  <c r="AB12" i="26" s="1"/>
  <c r="K80" i="37"/>
  <c r="M80" i="37" s="1"/>
  <c r="Y82" i="26"/>
  <c r="AB82" i="26" s="1"/>
  <c r="W56" i="26" l="1"/>
  <c r="K55" i="37" s="1"/>
  <c r="C12" i="38" s="1"/>
  <c r="E12" i="38" s="1"/>
  <c r="Y16" i="26"/>
  <c r="D9" i="25" s="1"/>
  <c r="Y33" i="26"/>
  <c r="D10" i="25" s="1"/>
  <c r="M16" i="37"/>
  <c r="Y77" i="26"/>
  <c r="AB77" i="26" s="1"/>
  <c r="AB57" i="26"/>
  <c r="W49" i="26"/>
  <c r="W41" i="26" s="1"/>
  <c r="F48" i="37"/>
  <c r="AH17" i="31"/>
  <c r="Z18" i="31"/>
  <c r="K47" i="37"/>
  <c r="M47" i="37" s="1"/>
  <c r="Y48" i="26"/>
  <c r="E13" i="25"/>
  <c r="F13" i="25" s="1"/>
  <c r="K8" i="37"/>
  <c r="Y8" i="26"/>
  <c r="M33" i="37"/>
  <c r="C10" i="38"/>
  <c r="E10" i="38" s="1"/>
  <c r="Y56" i="26" l="1"/>
  <c r="M55" i="37"/>
  <c r="AB16" i="26"/>
  <c r="AB33" i="26"/>
  <c r="K41" i="37"/>
  <c r="M41" i="37" s="1"/>
  <c r="W40" i="26"/>
  <c r="Z19" i="31"/>
  <c r="AH18" i="31"/>
  <c r="AB48" i="26"/>
  <c r="D12" i="25"/>
  <c r="AB56" i="26"/>
  <c r="D8" i="25"/>
  <c r="AB8" i="26"/>
  <c r="M8" i="37"/>
  <c r="C8" i="38"/>
  <c r="E10" i="25"/>
  <c r="E9" i="25"/>
  <c r="F9" i="25" s="1"/>
  <c r="Y49" i="26"/>
  <c r="AB49" i="26" s="1"/>
  <c r="K48" i="37"/>
  <c r="M48" i="37" s="1"/>
  <c r="Y41" i="26" l="1"/>
  <c r="AB41" i="26" s="1"/>
  <c r="E12" i="25"/>
  <c r="F12" i="25" s="1"/>
  <c r="E8" i="38"/>
  <c r="Z21" i="31"/>
  <c r="AH19" i="31"/>
  <c r="AH12" i="31" s="1"/>
  <c r="AH8" i="31" s="1"/>
  <c r="F10" i="25"/>
  <c r="E8" i="25"/>
  <c r="L194" i="37" s="1"/>
  <c r="K40" i="37"/>
  <c r="W7" i="26"/>
  <c r="Y40" i="26" l="1"/>
  <c r="F8" i="25"/>
  <c r="M40" i="37"/>
  <c r="C11" i="38"/>
  <c r="Z22" i="31"/>
  <c r="AH21" i="31"/>
  <c r="AB40" i="26"/>
  <c r="D11" i="25"/>
  <c r="Y7" i="26"/>
  <c r="AB7" i="26" s="1"/>
  <c r="D25" i="38"/>
  <c r="D26" i="38" s="1"/>
  <c r="L195" i="37"/>
  <c r="E11" i="25" l="1"/>
  <c r="F11" i="25" s="1"/>
  <c r="D7" i="25"/>
  <c r="Z23" i="31"/>
  <c r="AH22" i="31"/>
  <c r="E11" i="38"/>
  <c r="Z25" i="31" l="1"/>
  <c r="AH23" i="31"/>
  <c r="AH20" i="31" s="1"/>
  <c r="E7" i="25"/>
  <c r="F7" i="25" s="1"/>
  <c r="Z26" i="31" l="1"/>
  <c r="AH25" i="31"/>
  <c r="Z29" i="31" l="1"/>
  <c r="AH26" i="31"/>
  <c r="AH24" i="31" s="1"/>
  <c r="Z30" i="31" l="1"/>
  <c r="AH29" i="31"/>
  <c r="AH30" i="31" l="1"/>
  <c r="Z31" i="31"/>
  <c r="AH31" i="31" l="1"/>
  <c r="AH28" i="31" s="1"/>
  <c r="Z33" i="31"/>
  <c r="Z34" i="31" l="1"/>
  <c r="AH33" i="31"/>
  <c r="AH34" i="31" l="1"/>
  <c r="AH32" i="31" s="1"/>
  <c r="Z36" i="31"/>
  <c r="Z37" i="31" l="1"/>
  <c r="AH36" i="31"/>
  <c r="Z38" i="31" l="1"/>
  <c r="AH37" i="31"/>
  <c r="AH38" i="31" l="1"/>
  <c r="Z39" i="31"/>
  <c r="AH39" i="31" l="1"/>
  <c r="Z40" i="31"/>
  <c r="AH40" i="31" l="1"/>
  <c r="Z41" i="31"/>
  <c r="Z42" i="31" l="1"/>
  <c r="AH41" i="31"/>
  <c r="Z43" i="31" l="1"/>
  <c r="AH42" i="31"/>
  <c r="AH43" i="31" l="1"/>
  <c r="AH35" i="31" s="1"/>
  <c r="AH27" i="31" s="1"/>
  <c r="Z45" i="31"/>
  <c r="Z46" i="31" l="1"/>
  <c r="AH45" i="31"/>
  <c r="AH46" i="31" l="1"/>
  <c r="Z47" i="31"/>
  <c r="Z48" i="31" l="1"/>
  <c r="AH47" i="31"/>
  <c r="Z50" i="31" l="1"/>
  <c r="AH48" i="31"/>
  <c r="AH44" i="31" s="1"/>
  <c r="Z51" i="31" l="1"/>
  <c r="AH50" i="31"/>
  <c r="AH51" i="31" l="1"/>
  <c r="Z52" i="31"/>
  <c r="AH52" i="31" s="1"/>
  <c r="AH49" i="31" l="1"/>
  <c r="AH53" i="31" s="1"/>
  <c r="AH7" i="31"/>
  <c r="D15" i="25" l="1"/>
  <c r="K97" i="37"/>
  <c r="D14" i="25"/>
  <c r="E14" i="25" l="1"/>
  <c r="F14" i="25" s="1"/>
  <c r="D6" i="25"/>
  <c r="K96" i="37"/>
  <c r="M97" i="37"/>
  <c r="E15" i="25"/>
  <c r="K194" i="37" s="1"/>
  <c r="F15" i="25" l="1"/>
  <c r="M96" i="37"/>
  <c r="C13" i="38"/>
  <c r="K7" i="37"/>
  <c r="M194" i="37"/>
  <c r="C25" i="38"/>
  <c r="E25" i="38" s="1"/>
  <c r="E6" i="25"/>
  <c r="F6" i="25" s="1"/>
  <c r="D5" i="25"/>
  <c r="M7" i="37" l="1"/>
  <c r="K6" i="37"/>
  <c r="D25" i="25"/>
  <c r="D23" i="25"/>
  <c r="E5" i="25"/>
  <c r="F5" i="25" s="1"/>
  <c r="E13" i="38"/>
  <c r="C7" i="38"/>
  <c r="C6" i="38" l="1"/>
  <c r="E7" i="38"/>
  <c r="K190" i="37"/>
  <c r="E23" i="25"/>
  <c r="E29" i="25" s="1"/>
  <c r="K192" i="37"/>
  <c r="F25" i="25"/>
  <c r="M6" i="37"/>
  <c r="C23" i="38" l="1"/>
  <c r="E23" i="38" s="1"/>
  <c r="M192" i="37"/>
  <c r="C21" i="38"/>
  <c r="M190" i="37"/>
  <c r="F23" i="25"/>
  <c r="E6" i="38"/>
  <c r="E21" i="38" l="1"/>
  <c r="D26" i="25"/>
  <c r="F26" i="25" s="1"/>
  <c r="K193" i="37"/>
  <c r="M193" i="37" s="1"/>
  <c r="D22" i="25" l="1"/>
  <c r="C24" i="38"/>
  <c r="E24" i="38" l="1"/>
  <c r="C20" i="38"/>
  <c r="F22" i="25"/>
  <c r="D29" i="25"/>
  <c r="I30" i="25" s="1"/>
  <c r="E20" i="38" l="1"/>
  <c r="C26" i="38"/>
  <c r="E26" i="38" s="1"/>
  <c r="K189" i="37"/>
  <c r="J23" i="25"/>
  <c r="F29" i="25"/>
  <c r="K195" i="37" l="1"/>
  <c r="M189" i="37"/>
  <c r="M195" i="37" s="1"/>
</calcChain>
</file>

<file path=xl/comments1.xml><?xml version="1.0" encoding="utf-8"?>
<comments xmlns="http://schemas.openxmlformats.org/spreadsheetml/2006/main">
  <authors>
    <author>GIS09</author>
    <author>SFRI</author>
  </authors>
  <commentList>
    <comment ref="S6" authorId="0" shapeId="0">
      <text>
        <r>
          <rPr>
            <b/>
            <sz val="9"/>
            <color indexed="81"/>
            <rFont val="Tahoma"/>
            <family val="2"/>
          </rPr>
          <t>Hệ số diện tích: Nội suy theo Bảng 01 - trang 3</t>
        </r>
      </text>
    </comment>
    <comment ref="T6" authorId="0" shapeId="0">
      <text>
        <r>
          <rPr>
            <b/>
            <sz val="9"/>
            <color indexed="81"/>
            <rFont val="Tahoma"/>
            <family val="2"/>
          </rPr>
          <t>Hệ số địa hình: Kdh=(S1*1+S2*1.1)/(S1+S2)</t>
        </r>
      </text>
    </comment>
    <comment ref="U6" authorId="0" shapeId="0">
      <text>
        <r>
          <rPr>
            <b/>
            <sz val="9"/>
            <color indexed="81"/>
            <rFont val="Tahoma"/>
            <family val="2"/>
          </rPr>
          <t>Hệ số hành chính: Nội suy theo Bảng 03 - trang 4. Với 17 đơn vị hành chính cấp huyện</t>
        </r>
      </text>
    </comment>
    <comment ref="B9" authorId="1" shapeId="0">
      <text>
        <r>
          <rPr>
            <b/>
            <sz val="10"/>
            <color indexed="81"/>
            <rFont val="Tahoma"/>
            <family val="2"/>
          </rPr>
          <t>Tổng diện tích vùng điều tra là 137.234 ha</t>
        </r>
      </text>
    </comment>
    <comment ref="O55" authorId="1" shapeId="0">
      <text>
        <r>
          <rPr>
            <b/>
            <sz val="10"/>
            <color indexed="81"/>
            <rFont val="Tahoma"/>
            <family val="2"/>
          </rPr>
          <t>Có 370 xã làm bản đồ</t>
        </r>
      </text>
    </comment>
  </commentList>
</comments>
</file>

<file path=xl/comments2.xml><?xml version="1.0" encoding="utf-8"?>
<comments xmlns="http://schemas.openxmlformats.org/spreadsheetml/2006/main">
  <authors>
    <author>GIS09</author>
  </authors>
  <commentList>
    <comment ref="T19" authorId="0" shapeId="0">
      <text>
        <r>
          <rPr>
            <b/>
            <sz val="9"/>
            <color indexed="81"/>
            <rFont val="Tahoma"/>
            <family val="2"/>
          </rPr>
          <t>Đây là quy đổi ĐTQL</t>
        </r>
      </text>
    </comment>
  </commentList>
</comments>
</file>

<file path=xl/comments3.xml><?xml version="1.0" encoding="utf-8"?>
<comments xmlns="http://schemas.openxmlformats.org/spreadsheetml/2006/main">
  <authors>
    <author>SFRI</author>
  </authors>
  <commentList>
    <comment ref="B9" authorId="0" shapeId="0">
      <text>
        <r>
          <rPr>
            <b/>
            <sz val="10"/>
            <color indexed="81"/>
            <rFont val="Tahoma"/>
            <charset val="1"/>
          </rPr>
          <t>Nhập vào thành phố Thanh Hóa</t>
        </r>
      </text>
    </comment>
    <comment ref="M11" authorId="0" shapeId="0">
      <text>
        <r>
          <rPr>
            <b/>
            <sz val="10"/>
            <color indexed="81"/>
            <rFont val="Tahoma"/>
            <family val="2"/>
          </rPr>
          <t>Diện tích vùng đồi núi</t>
        </r>
      </text>
    </comment>
    <comment ref="M12" authorId="0" shapeId="0">
      <text>
        <r>
          <rPr>
            <b/>
            <sz val="10"/>
            <color indexed="81"/>
            <rFont val="Tahoma"/>
            <family val="2"/>
          </rPr>
          <t>Diện tích vùng đồng bằng</t>
        </r>
      </text>
    </comment>
    <comment ref="C25" authorId="0" shapeId="0">
      <text>
        <r>
          <rPr>
            <b/>
            <sz val="10"/>
            <color indexed="81"/>
            <rFont val="Tahoma"/>
            <charset val="1"/>
          </rPr>
          <t>Số liệu năm 2023</t>
        </r>
      </text>
    </comment>
  </commentList>
</comments>
</file>

<file path=xl/comments4.xml><?xml version="1.0" encoding="utf-8"?>
<comments xmlns="http://schemas.openxmlformats.org/spreadsheetml/2006/main">
  <authors>
    <author>GIS09</author>
  </authors>
  <commentList>
    <comment ref="C15" authorId="0" shapeId="0">
      <text>
        <r>
          <rPr>
            <sz val="9"/>
            <color indexed="81"/>
            <rFont val="Tahoma"/>
            <family val="2"/>
          </rPr>
          <t>Gồm 4 Bảng dữ liệu * 16 huyện
- Diện tích đất đai
- Dân số, lao động
- Khí hậu
- Tăng trưởng kinh tế</t>
        </r>
      </text>
    </comment>
    <comment ref="C16" authorId="0" shapeId="0">
      <text>
        <r>
          <rPr>
            <b/>
            <sz val="9"/>
            <color indexed="81"/>
            <rFont val="Tahoma"/>
            <family val="2"/>
          </rPr>
          <t>Thống kê DT-NS-SL cho 16 cây trồng * 16 huyện</t>
        </r>
      </text>
    </comment>
    <comment ref="C17" authorId="0" shapeId="0">
      <text>
        <r>
          <rPr>
            <b/>
            <sz val="9"/>
            <color indexed="81"/>
            <rFont val="Tahoma"/>
            <family val="2"/>
          </rPr>
          <t>chi phí đầu tư cho 16 cây trồng</t>
        </r>
      </text>
    </comment>
    <comment ref="C18" authorId="0" shapeId="0">
      <text>
        <r>
          <rPr>
            <b/>
            <sz val="9"/>
            <color indexed="81"/>
            <rFont val="Tahoma"/>
            <family val="2"/>
          </rPr>
          <t>Số liệu 8 chỉ tiêu nông hóa * 16 huyện = 128 bảng</t>
        </r>
      </text>
    </comment>
    <comment ref="C19" authorId="0" shapeId="0">
      <text>
        <r>
          <rPr>
            <b/>
            <sz val="9"/>
            <color indexed="81"/>
            <rFont val="Tahoma"/>
            <family val="2"/>
          </rPr>
          <t>Nhu cầu dinh dưỡng của 16 cây trồng</t>
        </r>
      </text>
    </comment>
    <comment ref="C21" authorId="0" shapeId="0">
      <text>
        <r>
          <rPr>
            <b/>
            <sz val="9"/>
            <color indexed="81"/>
            <rFont val="Tahoma"/>
            <family val="2"/>
          </rPr>
          <t>Có 8 lớp</t>
        </r>
      </text>
    </comment>
    <comment ref="C22" authorId="0" shapeId="0">
      <text>
        <r>
          <rPr>
            <b/>
            <sz val="9"/>
            <color indexed="81"/>
            <rFont val="Tahoma"/>
            <family val="2"/>
          </rPr>
          <t>16 bản đồ cho 16 huyện</t>
        </r>
      </text>
    </comment>
    <comment ref="C23" authorId="0" shapeId="0">
      <text>
        <r>
          <rPr>
            <b/>
            <sz val="9"/>
            <color indexed="81"/>
            <rFont val="Tahoma"/>
            <family val="2"/>
          </rPr>
          <t>16 bản đồ cho 16 huyện</t>
        </r>
      </text>
    </comment>
    <comment ref="C24" authorId="0" shapeId="0">
      <text>
        <r>
          <rPr>
            <b/>
            <sz val="9"/>
            <color indexed="81"/>
            <rFont val="Tahoma"/>
            <family val="2"/>
          </rPr>
          <t>16 bản đồ nông hóa cho 16 huyện</t>
        </r>
      </text>
    </comment>
    <comment ref="C25" authorId="0" shapeId="0">
      <text>
        <r>
          <rPr>
            <b/>
            <sz val="9"/>
            <color indexed="81"/>
            <rFont val="Tahoma"/>
            <family val="2"/>
          </rPr>
          <t>Đánh giá thích nghi cho 25 loại cây trồng</t>
        </r>
      </text>
    </comment>
    <comment ref="C26" authorId="0" shapeId="0">
      <text>
        <r>
          <rPr>
            <b/>
            <sz val="9"/>
            <color indexed="81"/>
            <rFont val="Tahoma"/>
            <family val="2"/>
          </rPr>
          <t>Đề xuất bón phân cho 16 loại cây trồng</t>
        </r>
      </text>
    </comment>
  </commentList>
</comments>
</file>

<file path=xl/comments5.xml><?xml version="1.0" encoding="utf-8"?>
<comments xmlns="http://schemas.openxmlformats.org/spreadsheetml/2006/main">
  <authors>
    <author>NVDAO</author>
  </authors>
  <commentList>
    <comment ref="J3" authorId="0" shapeId="0">
      <text>
        <r>
          <rPr>
            <b/>
            <sz val="10"/>
            <color indexed="81"/>
            <rFont val="Tahoma"/>
            <family val="2"/>
          </rPr>
          <t>Bắt đầu từ 01/7/2023 mức lương cơ sở là 1.800.000 đồng</t>
        </r>
      </text>
    </comment>
  </commentList>
</comments>
</file>

<file path=xl/comments6.xml><?xml version="1.0" encoding="utf-8"?>
<comments xmlns="http://schemas.openxmlformats.org/spreadsheetml/2006/main">
  <authors>
    <author>SFRI</author>
  </authors>
  <commentList>
    <comment ref="B5" authorId="0" shapeId="0">
      <text>
        <r>
          <rPr>
            <b/>
            <sz val="10"/>
            <color indexed="81"/>
            <rFont val="Tahoma"/>
            <charset val="1"/>
          </rPr>
          <t>Nhập vào thành phố Thanh Hóa</t>
        </r>
      </text>
    </comment>
  </commentList>
</comments>
</file>

<file path=xl/sharedStrings.xml><?xml version="1.0" encoding="utf-8"?>
<sst xmlns="http://schemas.openxmlformats.org/spreadsheetml/2006/main" count="1937" uniqueCount="856">
  <si>
    <t>STT</t>
  </si>
  <si>
    <t>Nội dung công việc</t>
  </si>
  <si>
    <t>Định biên</t>
  </si>
  <si>
    <t>Hệ số điều chỉnh</t>
  </si>
  <si>
    <t>Nội nghiệp</t>
  </si>
  <si>
    <t>Ngoại nghiệp</t>
  </si>
  <si>
    <t>Kdt</t>
  </si>
  <si>
    <t>Kdh</t>
  </si>
  <si>
    <t>Khc</t>
  </si>
  <si>
    <t>Tổng số</t>
  </si>
  <si>
    <t>A</t>
  </si>
  <si>
    <t>Chi phí nhân công</t>
  </si>
  <si>
    <t>I</t>
  </si>
  <si>
    <t>1.1</t>
  </si>
  <si>
    <t>1.2</t>
  </si>
  <si>
    <t>Đánh giá, lựa chọn các thông tin, tài liệu, số liệu, bản đồ đã thu thập</t>
  </si>
  <si>
    <t>Nhóm 4 (4KS3)</t>
  </si>
  <si>
    <t>Nhóm 2 (2KS3)</t>
  </si>
  <si>
    <t>II</t>
  </si>
  <si>
    <t xml:space="preserve">Lập kế hoạch và điều tra lấy mẫu đất tại thực địa  </t>
  </si>
  <si>
    <t>Khảo sát sơ bộ, xác định hướng, tuyến điều tra</t>
  </si>
  <si>
    <t>1.3</t>
  </si>
  <si>
    <t>1.4</t>
  </si>
  <si>
    <t>Chuẩn bị bản tả phẫu diện đất, phiếu điều tra khoanh đất</t>
  </si>
  <si>
    <t xml:space="preserve">Công tác ngoại nghiệp </t>
  </si>
  <si>
    <t>Nhóm 2 (1KS2, 1KS3)</t>
  </si>
  <si>
    <t>Thống kê số lượng, đặc điểm khoanh đất điều tra thực địa</t>
  </si>
  <si>
    <t>Nhóm 2 (1KS2, 1KS4)</t>
  </si>
  <si>
    <t>Xây dựng báo cáo kết quả điều tra ngoại nghiệp</t>
  </si>
  <si>
    <t>Tổng hợp thông tin, lựa chọn các yếu tố và chỉ tiêu phân cấp từng yếu tố dùng trong tạo lập các bản đồ chuyên đề dạng giấy đã thu thập được</t>
  </si>
  <si>
    <t>Thiết kế các trường thông tin lưu trữ dữ liệu thuộc tính trong mỗi lớp thông tin theo định dạng tương ứng với phân cấp bản đồ chuyên đề</t>
  </si>
  <si>
    <t>1.5</t>
  </si>
  <si>
    <t>Nhóm 2 (1KS3, 1KSC2)</t>
  </si>
  <si>
    <t>Nhóm 2 (1KS4, 1KS6)</t>
  </si>
  <si>
    <t>Nhóm 4 (2KS4, 2KS6)</t>
  </si>
  <si>
    <t>Xây dựng modul quản lý cơ sở dữ liệu đất sản xuất nông nghiệp trực tuyến</t>
  </si>
  <si>
    <t>Nhóm 3 (1KS4, 1KS6, 1KSC2)</t>
  </si>
  <si>
    <t>Phục vụ nghiệm thu và bàn giao kết quả</t>
  </si>
  <si>
    <t>Ngày</t>
  </si>
  <si>
    <t>OM%</t>
  </si>
  <si>
    <t>mẫu</t>
  </si>
  <si>
    <t>N tổng số</t>
  </si>
  <si>
    <t>Si hòa tan</t>
  </si>
  <si>
    <t>Cu dễ tiêu</t>
  </si>
  <si>
    <t>Zn dễ tiêu</t>
  </si>
  <si>
    <t>Mo dễ tiêu</t>
  </si>
  <si>
    <t>Người</t>
  </si>
  <si>
    <t>Thư ký hội thảo</t>
  </si>
  <si>
    <t>Photo tài liệu</t>
  </si>
  <si>
    <t>Bộ</t>
  </si>
  <si>
    <t>Nước uống</t>
  </si>
  <si>
    <t>Chi phí cho giảng viên</t>
  </si>
  <si>
    <t>Soạn bài giảng:</t>
  </si>
  <si>
    <t>Bài</t>
  </si>
  <si>
    <t>Chi cho học viên</t>
  </si>
  <si>
    <t>Chi tổ chức lớp học</t>
  </si>
  <si>
    <t>Thuê chuẩn bị hội trường, trang trí, thiết bị âm thanh</t>
  </si>
  <si>
    <t>B</t>
  </si>
  <si>
    <t>C</t>
  </si>
  <si>
    <t>TT</t>
  </si>
  <si>
    <t>Đơn vị hành chính</t>
  </si>
  <si>
    <t>Tổng cộng:</t>
  </si>
  <si>
    <t>DT SXNN</t>
  </si>
  <si>
    <t>Số mẫu NH</t>
  </si>
  <si>
    <t>Tổng số xã</t>
  </si>
  <si>
    <t>Số xã không làm BĐ</t>
  </si>
  <si>
    <t>Số xã làm BĐNH</t>
  </si>
  <si>
    <t>Tổng cộng</t>
  </si>
  <si>
    <t>CHI PHÍ KHÁC</t>
  </si>
  <si>
    <t>Đêm</t>
  </si>
  <si>
    <r>
      <t>P</t>
    </r>
    <r>
      <rPr>
        <vertAlign val="subscript"/>
        <sz val="11"/>
        <rFont val="Times New Roman"/>
        <family val="1"/>
      </rPr>
      <t>2</t>
    </r>
    <r>
      <rPr>
        <sz val="11"/>
        <rFont val="Times New Roman"/>
        <family val="1"/>
      </rPr>
      <t>O</t>
    </r>
    <r>
      <rPr>
        <vertAlign val="subscript"/>
        <sz val="11"/>
        <rFont val="Times New Roman"/>
        <family val="1"/>
      </rPr>
      <t>5</t>
    </r>
    <r>
      <rPr>
        <sz val="11"/>
        <rFont val="Times New Roman"/>
        <family val="1"/>
      </rPr>
      <t xml:space="preserve"> tổng số</t>
    </r>
  </si>
  <si>
    <r>
      <t>K</t>
    </r>
    <r>
      <rPr>
        <vertAlign val="subscript"/>
        <sz val="11"/>
        <rFont val="Times New Roman"/>
        <family val="1"/>
      </rPr>
      <t>2</t>
    </r>
    <r>
      <rPr>
        <sz val="11"/>
        <rFont val="Times New Roman"/>
        <family val="1"/>
      </rPr>
      <t>O tổng số</t>
    </r>
  </si>
  <si>
    <r>
      <t>Fe</t>
    </r>
    <r>
      <rPr>
        <vertAlign val="superscript"/>
        <sz val="11"/>
        <rFont val="Times New Roman"/>
        <family val="1"/>
      </rPr>
      <t xml:space="preserve">3+ </t>
    </r>
    <r>
      <rPr>
        <sz val="11"/>
        <rFont val="Times New Roman"/>
        <family val="1"/>
      </rPr>
      <t>trao đổi</t>
    </r>
  </si>
  <si>
    <r>
      <t>Al</t>
    </r>
    <r>
      <rPr>
        <vertAlign val="superscript"/>
        <sz val="11"/>
        <rFont val="Times New Roman"/>
        <family val="1"/>
      </rPr>
      <t>3+</t>
    </r>
    <r>
      <rPr>
        <sz val="11"/>
        <rFont val="Times New Roman"/>
        <family val="1"/>
      </rPr>
      <t xml:space="preserve"> trao đổi</t>
    </r>
  </si>
  <si>
    <t xml:space="preserve">Thành tiền (đồng) </t>
  </si>
  <si>
    <t>Chức danh</t>
  </si>
  <si>
    <t>Hệ số lương</t>
  </si>
  <si>
    <t>Lương cấp bậc</t>
  </si>
  <si>
    <t>PC lưu động (0,4 LCB)</t>
  </si>
  <si>
    <t>PC độc hại (0,2LCB)</t>
  </si>
  <si>
    <t>BHXH, BHYT, KPCĐ (23,5%)</t>
  </si>
  <si>
    <t>Lương ngày</t>
  </si>
  <si>
    <t>(26 ngày công/ tháng)</t>
  </si>
  <si>
    <t>Nhóm 4
(1KS2, 3KS3)</t>
  </si>
  <si>
    <t>Nhóm 2
(2KS3)</t>
  </si>
  <si>
    <t>Kĩ sư bậc 1</t>
  </si>
  <si>
    <t>Nhóm 3
(1KS2, 2KS3)</t>
  </si>
  <si>
    <t>Kĩ sư bậc 2</t>
  </si>
  <si>
    <t>Nhóm 4
(4KS3)</t>
  </si>
  <si>
    <t>Kĩ sư bậc 3</t>
  </si>
  <si>
    <t>Nhóm 2
(1KS2, 1KS4)</t>
  </si>
  <si>
    <t>Kĩ sư bậc 4</t>
  </si>
  <si>
    <t>Nhóm 4
(2KS2, 2KS3)</t>
  </si>
  <si>
    <t>Kĩ sư bậc 5</t>
  </si>
  <si>
    <t>Nhóm2
(1KS4,1KS6)</t>
  </si>
  <si>
    <t>Kĩ sư bậc 6</t>
  </si>
  <si>
    <t>Kĩ sư chính 2</t>
  </si>
  <si>
    <t>KTV4</t>
  </si>
  <si>
    <t>KTV5</t>
  </si>
  <si>
    <t>KTV6</t>
  </si>
  <si>
    <t>Phân tích mẫu</t>
  </si>
  <si>
    <t>TT33/2016/TT-BTNMT
Bảng 07, bước 4, mục 1.8, trang 20</t>
  </si>
  <si>
    <t>TT33/2016/TT-BTNMT
Bảng 07, bước 4, mục 2, trang 20</t>
  </si>
  <si>
    <t>TT33/2016/TT-BTNMT
Bảng 07, bước 4, mục 2.7, trang 20</t>
  </si>
  <si>
    <t>TT33/2016/TT-BTNMT
Bảng 07, bước 4, mục 2.8, trang 20</t>
  </si>
  <si>
    <t>Căn cứ</t>
  </si>
  <si>
    <r>
      <t>pH</t>
    </r>
    <r>
      <rPr>
        <vertAlign val="subscript"/>
        <sz val="11"/>
        <rFont val="Times New Roman"/>
        <family val="1"/>
      </rPr>
      <t>KCL</t>
    </r>
  </si>
  <si>
    <r>
      <t>P</t>
    </r>
    <r>
      <rPr>
        <vertAlign val="subscript"/>
        <sz val="11"/>
        <rFont val="Times New Roman"/>
        <family val="1"/>
      </rPr>
      <t>2</t>
    </r>
    <r>
      <rPr>
        <sz val="11"/>
        <rFont val="Times New Roman"/>
        <family val="1"/>
      </rPr>
      <t>O</t>
    </r>
    <r>
      <rPr>
        <vertAlign val="subscript"/>
        <sz val="11"/>
        <rFont val="Times New Roman"/>
        <family val="1"/>
      </rPr>
      <t>5</t>
    </r>
    <r>
      <rPr>
        <sz val="11"/>
        <rFont val="Times New Roman"/>
        <family val="1"/>
      </rPr>
      <t xml:space="preserve"> dễ tiêu</t>
    </r>
  </si>
  <si>
    <r>
      <t>K</t>
    </r>
    <r>
      <rPr>
        <vertAlign val="subscript"/>
        <sz val="11"/>
        <rFont val="Times New Roman"/>
        <family val="1"/>
      </rPr>
      <t>2</t>
    </r>
    <r>
      <rPr>
        <sz val="11"/>
        <rFont val="Times New Roman"/>
        <family val="1"/>
      </rPr>
      <t>O dễ tiêu</t>
    </r>
  </si>
  <si>
    <t>Nội dung</t>
  </si>
  <si>
    <t>ĐVT</t>
  </si>
  <si>
    <t>Ghi chú</t>
  </si>
  <si>
    <t>Số lượng</t>
  </si>
  <si>
    <t>DA Bản đồ đất</t>
  </si>
  <si>
    <t>DA Thoái hóa đất</t>
  </si>
  <si>
    <t>Tên huyện, thị</t>
  </si>
  <si>
    <t>Tổng DT đã xây dựng BĐNH (ha)</t>
  </si>
  <si>
    <t>DT điều tra mới (ha)</t>
  </si>
  <si>
    <t>Số mẫu bổ sung</t>
  </si>
  <si>
    <t>Số mẫu lấy mới</t>
  </si>
  <si>
    <t>Số mẫu đất kế thừa của Sở TN&amp;MT</t>
  </si>
  <si>
    <t>(5)=(3)-(4)</t>
  </si>
  <si>
    <t>Số mẫu thực tế cần lấy</t>
  </si>
  <si>
    <t>(1)</t>
  </si>
  <si>
    <t>(2)</t>
  </si>
  <si>
    <t>(4)</t>
  </si>
  <si>
    <t>(6)</t>
  </si>
  <si>
    <t>(7)</t>
  </si>
  <si>
    <t>(8)</t>
  </si>
  <si>
    <t>(9)</t>
  </si>
  <si>
    <t>(11)</t>
  </si>
  <si>
    <t>-</t>
  </si>
  <si>
    <t>Đơn giá (đồng)</t>
  </si>
  <si>
    <t>Thành tiền (đồng)</t>
  </si>
  <si>
    <t>Chi phí họp hội đồng thẩm định xét duyệt đề cương</t>
  </si>
  <si>
    <t>Chủ tịch hội đồng</t>
  </si>
  <si>
    <t>Đại biểu mời dự</t>
  </si>
  <si>
    <t>Nhận xét đánh giá của UV phản biện</t>
  </si>
  <si>
    <t>Nhận xét đánh giá của UV hội đồng</t>
  </si>
  <si>
    <t>Xây dựng thuyết minh</t>
  </si>
  <si>
    <t>Nghiên cứu tổng quan</t>
  </si>
  <si>
    <r>
      <t>Mg</t>
    </r>
    <r>
      <rPr>
        <vertAlign val="superscript"/>
        <sz val="11"/>
        <rFont val="Times New Roman"/>
        <family val="1"/>
      </rPr>
      <t xml:space="preserve">2+ </t>
    </r>
    <r>
      <rPr>
        <sz val="11"/>
        <rFont val="Times New Roman"/>
        <family val="1"/>
      </rPr>
      <t>trao đổi</t>
    </r>
  </si>
  <si>
    <r>
      <t>Ca</t>
    </r>
    <r>
      <rPr>
        <vertAlign val="superscript"/>
        <sz val="11"/>
        <rFont val="Times New Roman"/>
        <family val="1"/>
      </rPr>
      <t>2+</t>
    </r>
    <r>
      <rPr>
        <sz val="11"/>
        <rFont val="Times New Roman"/>
        <family val="1"/>
      </rPr>
      <t xml:space="preserve"> trao đổi</t>
    </r>
  </si>
  <si>
    <t>Dung tích hấp thu trong đất (CEC)</t>
  </si>
  <si>
    <t>1.6</t>
  </si>
  <si>
    <t>a</t>
  </si>
  <si>
    <t>b</t>
  </si>
  <si>
    <t>c</t>
  </si>
  <si>
    <t>d</t>
  </si>
  <si>
    <t>e</t>
  </si>
  <si>
    <t>f</t>
  </si>
  <si>
    <t>Nhóm 3 (1KTV6, 2KS3)</t>
  </si>
  <si>
    <t>Nhóm 4 (1KTV6, 3KS3)</t>
  </si>
  <si>
    <t>Nhóm 2 (1KTV 6; 1KS3)</t>
  </si>
  <si>
    <t>Nhóm 4 (2KTV6, 2KS3)</t>
  </si>
  <si>
    <t>Nhóm 2 (1KTV6, 1KS3)</t>
  </si>
  <si>
    <t xml:space="preserve">Thu thập thông tin, tài liệu, số liệu, bản đồ </t>
  </si>
  <si>
    <t>Tổng hợp, xử lý thông tin nội nghiệp và ngoại nghiệp</t>
  </si>
  <si>
    <t xml:space="preserve">Chi phí phân tích mẫu đất </t>
  </si>
  <si>
    <t>Xác định nội dung và kế hoạch điều tra, lấy mẫu thực địa</t>
  </si>
  <si>
    <t xml:space="preserve">Công tác ngoại nghiệp (không bao gồm điều tra phẫu diện đất) </t>
  </si>
  <si>
    <t>Công tác nội nghiệp</t>
  </si>
  <si>
    <t>Định mức (Công nhóm)</t>
  </si>
  <si>
    <t xml:space="preserve"> Đơn giá (đồng/công nhóm)</t>
  </si>
  <si>
    <t>Đơn giá</t>
  </si>
  <si>
    <t>Thành tiền</t>
  </si>
  <si>
    <t>Chi phí đi lại</t>
  </si>
  <si>
    <t>Thuê phòng ngủ</t>
  </si>
  <si>
    <t>Chi phí thẩm tra, phê duyệt Quyết toán</t>
  </si>
  <si>
    <t>Đơn vị tính</t>
  </si>
  <si>
    <t>Buổi</t>
  </si>
  <si>
    <t>Phụ cấp lưu trú</t>
  </si>
  <si>
    <t xml:space="preserve">Hỗ trợ tiền đi lại </t>
  </si>
  <si>
    <t>Hỗ trợ tiền ăn</t>
  </si>
  <si>
    <t>Tiền nước uống</t>
  </si>
  <si>
    <t>Tiền tài liệu</t>
  </si>
  <si>
    <t>Đơn vị tính: đồng</t>
  </si>
  <si>
    <t>TỔNG CỘNG</t>
  </si>
  <si>
    <t>Chi phí hội thảo, tập huấn, chuyển giao công nghệ</t>
  </si>
  <si>
    <t>Xây dựng bản đồ</t>
  </si>
  <si>
    <t>Xây dựng cơ sở dữ liệu trực tuyến</t>
  </si>
  <si>
    <t>Chi phí mua vật tư, dụng cụ, thiết bị phục vụ điều tra khảo sát</t>
  </si>
  <si>
    <t>Chi phí vật tư, dụng cụ, thiết bị phục vụ điều tra khảo sát</t>
  </si>
  <si>
    <t>Thuế GTGT</t>
  </si>
  <si>
    <t>Kinh phí sau thuế</t>
  </si>
  <si>
    <t>CHI PHÍ TRỰC TIẾP</t>
  </si>
  <si>
    <t>Huyện</t>
  </si>
  <si>
    <t>Nhóm 2 (1KS3, 1KS5)</t>
  </si>
  <si>
    <t>Nhóm 2 (1KTV6, 1KS5)</t>
  </si>
  <si>
    <t>Điều tra, lấy mẫu đất tại thực địa và điều tra nông hộ</t>
  </si>
  <si>
    <t>Xây dựng hệ thống chú dẫn và biên tập bản đồ nông hóa cấp huyện (17 huyện)</t>
  </si>
  <si>
    <t>Xác định và phân cấp bộ chỉ tiêu xây dựng bản đồ đơn vị đất đai</t>
  </si>
  <si>
    <t>Nhập thông tin thuộc tính đến từng khoanh đất theo các lớp thông tin đã thiết kế</t>
  </si>
  <si>
    <t>Chồng xếp các lớp thông tin đất, địa hình, khí hậu, chế độ nước để xây dựng bản đồ đơn vị đất đai</t>
  </si>
  <si>
    <t>Tổng hợp tính chất, đặc điểm, diện tích của từng đơn vị bản đồ đất đai</t>
  </si>
  <si>
    <t>Xây dựng bản đồ đơn vị đất đai</t>
  </si>
  <si>
    <t>Xác định các loại đất nông nghiệp cần đánh giá</t>
  </si>
  <si>
    <t>Chồng xếp bản đồ đơn vị đất đai và lớp thông tin hiện trạng sử dụng đất nông nghiệp để xác định hệ thống sử dụng đất nông nghiệp</t>
  </si>
  <si>
    <t>Lựa chọn các loại đất theo mục đích sử dụng để đánh giá mức độ thích hợp đất đai</t>
  </si>
  <si>
    <t>Đối chiếu yêu cầu sử dụng đất của từng cây trồng với các đặc điểm của đơn vị đất đai để mức độ thích hợp đất đai của mỗi khoanh đất</t>
  </si>
  <si>
    <t>Đánh giá mức độ phù hợp của hiện trạng sử dụng đất nông nghiệp và xây dựng báo cáo kết quả đánh giá mức độ thích hợp đất đai</t>
  </si>
  <si>
    <t>Thống kê kết quả đánh giá mức độ thích hợp đất đai, đối chiếu kết quả đánh giá mức độ thích hợp đất đai với hiện trạng sử dụng đất để xác định mức độ phù hợp của hiện trạng sử dụng đất nông nghiệp</t>
  </si>
  <si>
    <t>Tổng hợp các đơn vị đất đai có cùng mức độ thích hợp đất đai với cùng các mục đích sử dụng đất</t>
  </si>
  <si>
    <t>Phân tích, đánh giá mức độ phù hợp của hiện trạng sử dụng đất nông nghiệp với kết quả đánh giá mức độ thích hợp đất đai</t>
  </si>
  <si>
    <t>Phân loại huyện</t>
  </si>
  <si>
    <t>Thành phố Thanh Hóa</t>
  </si>
  <si>
    <t>ĐB</t>
  </si>
  <si>
    <t>Thị xã Bỉm Sơn</t>
  </si>
  <si>
    <t>Thành phố Sầm Sơn</t>
  </si>
  <si>
    <t>Huyện Quan Hóa</t>
  </si>
  <si>
    <t>MN</t>
  </si>
  <si>
    <t>Huyện Quan Sơn</t>
  </si>
  <si>
    <t>Huyện Ngọc Lặc</t>
  </si>
  <si>
    <t>Huyện Vĩnh Lộc</t>
  </si>
  <si>
    <t>Huyện Thọ Xuân</t>
  </si>
  <si>
    <t>Huyện Triệu Sơn</t>
  </si>
  <si>
    <t>Huyện Thiệu Hóa</t>
  </si>
  <si>
    <t>Huyện Hoằng Hóa</t>
  </si>
  <si>
    <t>Huyện Hậu Lộc</t>
  </si>
  <si>
    <t>Huyện Nga Sơn</t>
  </si>
  <si>
    <t>Huyện Nông Cống</t>
  </si>
  <si>
    <t>Huyện Đông Sơn</t>
  </si>
  <si>
    <t>Huyện Quảng Xương</t>
  </si>
  <si>
    <t>Thị xã Nghi Sơn</t>
  </si>
  <si>
    <t>B hòa tan</t>
  </si>
  <si>
    <t>Thuê chuẩn bị hội trường, băng dôn, trang trí, thiết bị âm thanh</t>
  </si>
  <si>
    <t>Hội trường</t>
  </si>
  <si>
    <t>Kinh phí trước thuế</t>
  </si>
  <si>
    <t>Chi phí in sản phẩm giao nộp (Bản đồ, báo cáo các loại): 17 huyện x 5 bộ</t>
  </si>
  <si>
    <t>Chỉ tiêu phân tích</t>
  </si>
  <si>
    <t>Theo QĐ 1966 Bộ TN&amp;MT</t>
  </si>
  <si>
    <t>Theo QĐ 19 UBND Tỉnh</t>
  </si>
  <si>
    <t>Đơn giá lập dự toán</t>
  </si>
  <si>
    <t>P2O5 tổng số</t>
  </si>
  <si>
    <t>K2O tổng số</t>
  </si>
  <si>
    <t>P2O5 dễ tiêu</t>
  </si>
  <si>
    <t>K2O dễ tiêu</t>
  </si>
  <si>
    <t>Ca2+ trao đổi</t>
  </si>
  <si>
    <t>Mg2+ trao đổi</t>
  </si>
  <si>
    <t>Fe3+ trao đổi</t>
  </si>
  <si>
    <t>Al3+ trao đổi</t>
  </si>
  <si>
    <t>CEC trong đất</t>
  </si>
  <si>
    <t>Lấy khoảng 80% đơn giá P2O5 tổng số</t>
  </si>
  <si>
    <t>Lấy khoảng 80% đơn giá K2O tổng số</t>
  </si>
  <si>
    <t>Lấy đơn giá tương tự như chỉ tiêu Zn</t>
  </si>
  <si>
    <t>Lấy đơn giá tương tự như chỉ tiêu Mn</t>
  </si>
  <si>
    <t>Lấy đơn giá tương tự như chỉ tiêu Al3+</t>
  </si>
  <si>
    <t>pHKCl</t>
  </si>
  <si>
    <t>Tỷ lệ (%)</t>
  </si>
  <si>
    <t>Giải trình</t>
  </si>
  <si>
    <t>Theo QĐ 1979 Bộ TN&amp;MT</t>
  </si>
  <si>
    <t>Không có</t>
  </si>
  <si>
    <t>Kế thừa giai đoạn 1</t>
  </si>
  <si>
    <t>Lương theo nhóm</t>
  </si>
  <si>
    <t>Vùng đồng bằng (hecta/mẫu):</t>
  </si>
  <si>
    <t>Vùng đồi núi (hecta/mẫu):</t>
  </si>
  <si>
    <t>Chi họp hội đồng tư vấn xác định nhiệm vụ</t>
  </si>
  <si>
    <t>Phó chủ tịch hội đồng, Thành viên hội đồng</t>
  </si>
  <si>
    <t>Thư ký khoa học</t>
  </si>
  <si>
    <t>Thư ký hành chính</t>
  </si>
  <si>
    <t>Chi nhận xét đánh giá</t>
  </si>
  <si>
    <t>Căn cứ: Nghị quyết số 18/2024/NQ-HĐND ngày 14/3/2024 của Hội đồng nhân dân tỉnh Thanh Hóa</t>
  </si>
  <si>
    <t>Chi phí xây dựng đề cương nhiệm vụ</t>
  </si>
  <si>
    <t>Tháng</t>
  </si>
  <si>
    <t>Khoản 1, Điều 3 - NQ18/2024</t>
  </si>
  <si>
    <t>Khoản 1, Điều 4 - NQ18/2024</t>
  </si>
  <si>
    <t>Chủ nhiệm thực hiện</t>
  </si>
  <si>
    <t>Thư ký thực hiện</t>
  </si>
  <si>
    <t>Chi phí Ban quản lý Nhiệm vụ</t>
  </si>
  <si>
    <t>Chi phí lập, thẩm định đề cương Nhiệm vụ</t>
  </si>
  <si>
    <t>Chi phí trong lựa chọn nhà thầu</t>
  </si>
  <si>
    <t>Chi tiết theo Sheet "Biểu 01"</t>
  </si>
  <si>
    <t>Chi tiết theo Sheet "Biểu 02"</t>
  </si>
  <si>
    <t>Báo cáo viên trình bày tại hội thảo</t>
  </si>
  <si>
    <t>Báo cáo</t>
  </si>
  <si>
    <t>Báo cáo khoa học do cơ quan tổ chức hội thảo đề nghị viết nhưng không trình bày tại hội thảo</t>
  </si>
  <si>
    <t>Chủ trì hội thảo</t>
  </si>
  <si>
    <t>Đại biểu được mời tham dự hội thảo</t>
  </si>
  <si>
    <t>Chủ trì hội nghị</t>
  </si>
  <si>
    <t>Thư ký hội nghị</t>
  </si>
  <si>
    <t>Báo cáo viên trình bày tại hội nghị</t>
  </si>
  <si>
    <t>Nghị quyết số 64/2017/NQ-HĐND</t>
  </si>
  <si>
    <t>Nghị quyết 18/2024/NQ-HĐND</t>
  </si>
  <si>
    <t>Chuyến xe</t>
  </si>
  <si>
    <t>Mn dễ tiêu</t>
  </si>
  <si>
    <t>Ghi chú: Hiện tại chỉ lấy khoảng 58-60% đơn giá của UBND tỉnh Thanh Hóa hoặc của Bộ TN&amp;MT</t>
  </si>
  <si>
    <t>Biểu 02: CHI TIẾT KINH PHÍ XÂY DỰNG CƠ SỞ DỮ LIỆU CHO 17 HUYỆN, THỊ XÃ, THÀNH PHỐ</t>
  </si>
  <si>
    <t>NỘI DUNG</t>
  </si>
  <si>
    <t>Đơn vị
 tính</t>
  </si>
  <si>
    <t>Số 
lượng</t>
  </si>
  <si>
    <t>Khó 
khăn</t>
  </si>
  <si>
    <t>ĐM
LĐ</t>
  </si>
  <si>
    <t>Định
 biên</t>
  </si>
  <si>
    <t>Tổng ĐM</t>
  </si>
  <si>
    <t>KS1</t>
  </si>
  <si>
    <t>KS2</t>
  </si>
  <si>
    <t>KS3</t>
  </si>
  <si>
    <t>KS4</t>
  </si>
  <si>
    <t>Thành tiền (đ)</t>
  </si>
  <si>
    <t>Căn cứ chi tiết</t>
  </si>
  <si>
    <t>GTNC</t>
  </si>
  <si>
    <t>Công</t>
  </si>
  <si>
    <t>Rà soát, phân tích nội dung thông tin dữ liệu</t>
  </si>
  <si>
    <t>Rà soát, phân loại các thông tin dữ liệu</t>
  </si>
  <si>
    <t>- Rà soát, đánh giá và phân loại chi tiết dữ liệu đã được chuẩn hóa và chưa được chuẩn hóa</t>
  </si>
  <si>
    <t>Bộ 
dữ liệu</t>
  </si>
  <si>
    <t>1KS2</t>
  </si>
  <si>
    <t>- Chuẩn bị
 dữ liệu mẫu</t>
  </si>
  <si>
    <t>Phân tích nội dung thông tin dữ liệu</t>
  </si>
  <si>
    <t>- Xác định danh mục các ĐTQL</t>
  </si>
  <si>
    <t>ĐTQL</t>
  </si>
  <si>
    <t>1KS3+1KS4</t>
  </si>
  <si>
    <t>- Xác định chi tiết các thông tin cho từng ĐTQL</t>
  </si>
  <si>
    <t>1KS2+2KS3</t>
  </si>
  <si>
    <t>- Xác định chi tiết các quan hệ giữa các ĐTQL</t>
  </si>
  <si>
    <t>2KS2+1KS3</t>
  </si>
  <si>
    <t>- Xác định chi tiết các tài liệu quét (tài liệu đính kèm) và các tài liệu dạng giấy cần nhập vào cơ sở dữ liệu từ bàn phím</t>
  </si>
  <si>
    <t>- Xác định khung danh mục dữ liệu, siêu dữ liệu sử dụng trong cơ sở dữ liệu</t>
  </si>
  <si>
    <t>CSDL</t>
  </si>
  <si>
    <t>1KS1+1KS2</t>
  </si>
  <si>
    <t>- Xác định các yếu tố ảnh hưởng đến việc xây dựng cơ sở dữ liệu</t>
  </si>
  <si>
    <t>2KS3+1KS4</t>
  </si>
  <si>
    <t>- Quy đổi đối tượng quản lý</t>
  </si>
  <si>
    <t>1KS3</t>
  </si>
  <si>
    <t>Thiết kế mô hình cơ sở dữ liệu</t>
  </si>
  <si>
    <t>2.1</t>
  </si>
  <si>
    <t>Thiết kế mô hình danh mục dữ liệu, siêu dữ liệu</t>
  </si>
  <si>
    <t>1KS2+1KS3</t>
  </si>
  <si>
    <t>2.2</t>
  </si>
  <si>
    <t>2.3</t>
  </si>
  <si>
    <t>Nhập dữ liệu mẫu để kiểm tra mô hình dữ liệu</t>
  </si>
  <si>
    <t>1KS1</t>
  </si>
  <si>
    <t>Tạo lập dữ liệu cho danh mục dữ liệu, siêu dữ liệu</t>
  </si>
  <si>
    <t>3.1</t>
  </si>
  <si>
    <t>Tạo lập nội dung cho danh mục dữ liệu</t>
  </si>
  <si>
    <t>3.2</t>
  </si>
  <si>
    <t>Tạo lập nội dung cho siêu dữ liệu</t>
  </si>
  <si>
    <t>Tạo lập dữ liệu cho cơ sở dữ liệu</t>
  </si>
  <si>
    <t>4.1</t>
  </si>
  <si>
    <t>Chuyển đổi dữ liệu</t>
  </si>
  <si>
    <t>- Chuẩn hóa phông chữ</t>
  </si>
  <si>
    <t>2KS1</t>
  </si>
  <si>
    <t>- Chuẩn hóa dữ liệu phi không gian theo thiết kế mô hình dữ liệu.</t>
  </si>
  <si>
    <t>Bộ
 dữ liệu</t>
  </si>
  <si>
    <t>- Chuyển đổi dữ liệu sau khi đã được chuẩn hóa vào CSDL</t>
  </si>
  <si>
    <t>4.2</t>
  </si>
  <si>
    <t>Quét (chụp) tài liệu</t>
  </si>
  <si>
    <t>- Quét tài liệu</t>
  </si>
  <si>
    <t>Trang
 A4</t>
  </si>
  <si>
    <t>- Xử lý và đính kèm tài liệu quét</t>
  </si>
  <si>
    <t>4.3</t>
  </si>
  <si>
    <t>Nhập, đối soát dữ liệu</t>
  </si>
  <si>
    <t>- Nhập dữ liệu có cấu trúc cho đối tượng phi không gian</t>
  </si>
  <si>
    <t>Trường dữ liệu</t>
  </si>
  <si>
    <t>- Nhập dữ liệu có cấu trúc cho đối tượng không gian</t>
  </si>
  <si>
    <t>- Nhập dữ liệu phi cấu trúc cho đối tượng phi không gian</t>
  </si>
  <si>
    <t>Trang 
A4</t>
  </si>
  <si>
    <t>- Nhập dữ liệu phi cấu trúc cho đối tượng không gian</t>
  </si>
  <si>
    <t>- Đối soát dữ liệu có cấu trúc đã nhập cho đối tượng phi không gian</t>
  </si>
  <si>
    <t>Trường 
dữ liệu</t>
  </si>
  <si>
    <t>- Đối soát dữ liệu phi cấu trúc đã nhập cho đối tượng không gian</t>
  </si>
  <si>
    <t>Trường
 dữ liệu</t>
  </si>
  <si>
    <t>- Đối soát dữ liệu phi cấu trúc đã nhập cho đối tượng phi không gian</t>
  </si>
  <si>
    <t>Trang A4</t>
  </si>
  <si>
    <t>Biên tập dữ liệu</t>
  </si>
  <si>
    <t>5.1</t>
  </si>
  <si>
    <t>Tuyên bố đối tượng</t>
  </si>
  <si>
    <t>5KS1</t>
  </si>
  <si>
    <t>5.2</t>
  </si>
  <si>
    <t>Sửa lỗi tương quan của dữ liệu không gian</t>
  </si>
  <si>
    <t>5.3</t>
  </si>
  <si>
    <t>Hiệu đính nội dung cho dữ liệu phi không gian</t>
  </si>
  <si>
    <t>5.4</t>
  </si>
  <si>
    <t>Trình bày hiển thị dữ liệu không gian</t>
  </si>
  <si>
    <t>Kiểm tra sản phẩm</t>
  </si>
  <si>
    <t>6.1</t>
  </si>
  <si>
    <t>Kiểm tra mô hình dữ liệu</t>
  </si>
  <si>
    <t>6.2</t>
  </si>
  <si>
    <t>Kiểm tra nội dung CSDL</t>
  </si>
  <si>
    <t>6.3</t>
  </si>
  <si>
    <t>Kiểm tra danh mục dữ liệu, siêu dữ liệu</t>
  </si>
  <si>
    <t>Đối tượng quản lý</t>
  </si>
  <si>
    <t>Dữ liệu thống kê, dự báo, thông tin cây trồng, phân bón</t>
  </si>
  <si>
    <t>Bộ dữ liệu về tổng quan điều kiện tự nhiên - kinh tế - xã hội</t>
  </si>
  <si>
    <t>Bộ dữ liệu thống kê diện tích, năng suất, sản lượng các loại cây trồng</t>
  </si>
  <si>
    <t>Bộ dữ liệu về chi phí đầu tư trong sản xuất của các loại cây trồng</t>
  </si>
  <si>
    <t>Bộ dữ liệu về tính chất nông hóa của các mẫu đất</t>
  </si>
  <si>
    <t>Bộ dữ liệu về nhu cầu dinh dưỡng của các loại cây trồng</t>
  </si>
  <si>
    <t>Dữ liệu bản đồ</t>
  </si>
  <si>
    <t>Bộ dữ liệu bản đồ nền</t>
  </si>
  <si>
    <t>Bộ dữ liệu bản đồ các điểm lấy mẫu đất</t>
  </si>
  <si>
    <t>Bộ dữ liệu bản đồ hiện trạng sử dụng đất</t>
  </si>
  <si>
    <t>Bộ dữ liệu bản đồ nông hóa</t>
  </si>
  <si>
    <t>Bộ dữ liệu bản đồ thích hợp đất đai</t>
  </si>
  <si>
    <t>Bộ dữ liệu bản đồ đề xuất bón phân cho cây trồng</t>
  </si>
  <si>
    <t>Bộ dữ liệu</t>
  </si>
  <si>
    <t>Dữ liệu bản đồ nền</t>
  </si>
  <si>
    <t>ID</t>
  </si>
  <si>
    <t>Năm</t>
  </si>
  <si>
    <t xml:space="preserve">Mã xã </t>
  </si>
  <si>
    <t>Tên Xã</t>
  </si>
  <si>
    <t>Mã huyện</t>
  </si>
  <si>
    <t>Tên Huyện</t>
  </si>
  <si>
    <t xml:space="preserve">Mã Tỉnh </t>
  </si>
  <si>
    <t>Tên Tỉnh</t>
  </si>
  <si>
    <t>Lớp giao thông</t>
  </si>
  <si>
    <t>Lớp thủy lợi</t>
  </si>
  <si>
    <t>Lớp bình độ</t>
  </si>
  <si>
    <t>Lớp ranh giới</t>
  </si>
  <si>
    <t>Lớp độ cao</t>
  </si>
  <si>
    <t>Lớp khung, lưới</t>
  </si>
  <si>
    <t>Lớp địa vật</t>
  </si>
  <si>
    <t>Lớp địa danh</t>
  </si>
  <si>
    <t>Dữ liệu bản đồ các điểm lấy mẫu đất</t>
  </si>
  <si>
    <t>Ký hiệu mẫu đất</t>
  </si>
  <si>
    <t>Loại đất</t>
  </si>
  <si>
    <t>III</t>
  </si>
  <si>
    <t>Dữ liệu bản đồ Hiện trạng sử dụng đất</t>
  </si>
  <si>
    <t>Diện tích</t>
  </si>
  <si>
    <t>Mã vùng hiện trạng</t>
  </si>
  <si>
    <t>Mô tả hiện trạng</t>
  </si>
  <si>
    <t>IV</t>
  </si>
  <si>
    <t>Dữ liệu bản đồ Nông hóa</t>
  </si>
  <si>
    <t>Độ chua pH</t>
  </si>
  <si>
    <t>Hàm lượng OM tổng số</t>
  </si>
  <si>
    <t>Hàm lượng N tổng số</t>
  </si>
  <si>
    <t>Hàm lượng P tổng số</t>
  </si>
  <si>
    <t>Hàm lượng K tổng số</t>
  </si>
  <si>
    <t>Hàm lượng P dễ tiêu</t>
  </si>
  <si>
    <t>Hàm lượng K dễ tiêu</t>
  </si>
  <si>
    <t>Hàm lượng CEC</t>
  </si>
  <si>
    <t>V</t>
  </si>
  <si>
    <t>Dữ liệu bản đồ thích nghi đất đai</t>
  </si>
  <si>
    <t>Thích nghi đối với cây Lúa</t>
  </si>
  <si>
    <t>Thích nghi đối với cây Ngô</t>
  </si>
  <si>
    <t>Thích nghi đối với cây Rau các loại</t>
  </si>
  <si>
    <t>Thích nghi đối với cây Sắn</t>
  </si>
  <si>
    <t>Thích nghi đối với cây Mía</t>
  </si>
  <si>
    <t>Thích nghi đối với cây Na</t>
  </si>
  <si>
    <t>Thích nghi đối với cây Dứa</t>
  </si>
  <si>
    <t>Thích nghi đối với cây Chuối</t>
  </si>
  <si>
    <t>Thích nghi đối với cây CAQ có múi</t>
  </si>
  <si>
    <t>Thích nghi đối với cây Nhãn</t>
  </si>
  <si>
    <t>Thích nghi đối với cây Ổi</t>
  </si>
  <si>
    <t>Thích nghi đối với cây Xoài</t>
  </si>
  <si>
    <t>Thích nghi đối với cây Thanh Long</t>
  </si>
  <si>
    <t>Thích nghi đối với cây Chanh leo</t>
  </si>
  <si>
    <t>Thích nghi đối với cây Cà gai leo</t>
  </si>
  <si>
    <t>Thích nghi đối với cây Giảo Cổ Lam</t>
  </si>
  <si>
    <t>Thích nghi đối với cây Nghệ</t>
  </si>
  <si>
    <t>Thích nghi đối với cây Xạ đen</t>
  </si>
  <si>
    <t>Thích nghi đối với cây Ngải Cứu</t>
  </si>
  <si>
    <t>Thích nghi đối với cây Sa chi</t>
  </si>
  <si>
    <t>Thích nghi đối với cây Kim ngân hoa</t>
  </si>
  <si>
    <t>Thích nghi đối với cây Thiên môn đông</t>
  </si>
  <si>
    <t>Thích nghi đối với cây Đàn Hương</t>
  </si>
  <si>
    <t>Thích nghi đối với cây Chè</t>
  </si>
  <si>
    <t>Thích nghi đối với cây Gai Xanh</t>
  </si>
  <si>
    <t>VI</t>
  </si>
  <si>
    <t>Dữ liệu bản đồ đề xuất bón phân cho cây trồng</t>
  </si>
  <si>
    <t>Đề xuất bón phân cho cây lúa xuân</t>
  </si>
  <si>
    <t>Đề xuất bón phân cho cây lúa mùa</t>
  </si>
  <si>
    <t>Đề xuất bón phân cho cây ngô</t>
  </si>
  <si>
    <t>Đề xuất bón phân cho cây khoai lang</t>
  </si>
  <si>
    <t>Đề xuất bón phân cho cây sắn</t>
  </si>
  <si>
    <t>Đề xuất bón phân cho cây lạc</t>
  </si>
  <si>
    <t>Đề xuất bón phân cho cây đậu tương</t>
  </si>
  <si>
    <t>Đề xuất bón phân cho cây mía</t>
  </si>
  <si>
    <t>Đề xuất bón phân cho cây dứa</t>
  </si>
  <si>
    <t>Đề xuất bón phân cho cây chuối</t>
  </si>
  <si>
    <t>Đề xuất bón phân cho cây bưởi</t>
  </si>
  <si>
    <t>Đề xuất bón phân cho cây cam</t>
  </si>
  <si>
    <t>Đề xuất bón phân cho cây xoài</t>
  </si>
  <si>
    <t>Đề xuất bón phân cho cây na</t>
  </si>
  <si>
    <t>Đề xuất bón phân cho cây nhãn</t>
  </si>
  <si>
    <t>Đề xuất bón phân cho cây ổi</t>
  </si>
  <si>
    <t>Đề xuất bón phân cho cây cao su</t>
  </si>
  <si>
    <t>Đề xuất bón phân cho cây chanh leo</t>
  </si>
  <si>
    <t>Đề xuất bón phân cho cây chè</t>
  </si>
  <si>
    <t>Đề xuất bón phân cho cây gai xanh</t>
  </si>
  <si>
    <t>Đề xuất bón phân cho cây dược liệu</t>
  </si>
  <si>
    <t>Tổng</t>
  </si>
  <si>
    <t>Dữ liệu tổng quan điều kiện tự nhiên - kinh tế - xã hội</t>
  </si>
  <si>
    <t>Dữ liệu thống kê diện tích, năng suất, sản lượng các loại cây trồng</t>
  </si>
  <si>
    <t>Diện tích, năng suất, sản lượng của cây Lúa</t>
  </si>
  <si>
    <t>Diện tích, năng suất, sản lượng của cây Ngô</t>
  </si>
  <si>
    <t>Diện tích, năng suất, sản lượng của cây Rau các loại</t>
  </si>
  <si>
    <t>Diện tích, năng suất, sản lượng của cây Đậu các loại</t>
  </si>
  <si>
    <t>Diện tích, năng suất, sản lượng của cây Khoai lang</t>
  </si>
  <si>
    <t>Diện tích, năng suất, sản lượng của cây Khoai tây</t>
  </si>
  <si>
    <t>Diện tích, năng suất, sản lượng của cây Sắn</t>
  </si>
  <si>
    <t>Diện tích, năng suất, sản lượng của cây Mía</t>
  </si>
  <si>
    <t>Diện tích, năng suất, sản lượng của cây Na</t>
  </si>
  <si>
    <t>Diện tích, năng suất, sản lượng của cây Dứa</t>
  </si>
  <si>
    <t>Diện tích, năng suất, sản lượng của cây Chuối</t>
  </si>
  <si>
    <t>Diện tích, năng suất, sản lượng của cây CAQ có múi</t>
  </si>
  <si>
    <t>Diện tích, năng suất, sản lượng của cây Nhãn</t>
  </si>
  <si>
    <t>Diện tích, năng suất, sản lượng của cây Ổi</t>
  </si>
  <si>
    <t>Diện tích, năng suất, sản lượng của cây Xoài</t>
  </si>
  <si>
    <t>Diện tích, năng suất, sản lượng của cây Dược liệu</t>
  </si>
  <si>
    <t>Diện tích, năng suất, sản lượng của cây Chè</t>
  </si>
  <si>
    <t>Diện tích, năng suất, sản lượng của cây Chanh leo</t>
  </si>
  <si>
    <t>Diện tích, năng suất, sản lượng của cây Gai Xanh</t>
  </si>
  <si>
    <t>Dữ liệu về chi phí đầu tư trong sản xuất của các loại cây trồng</t>
  </si>
  <si>
    <t>Chi phí về làm đất</t>
  </si>
  <si>
    <t>Chi phí về giống, phân bón, thuốc BVTV</t>
  </si>
  <si>
    <t>Chi phí về gieo trồng, chăm sóc, thu hoạch</t>
  </si>
  <si>
    <t>Dữ liệu về tính chất nông hóa của các mẫu đất</t>
  </si>
  <si>
    <t>Mã số mẫu nông hóa</t>
  </si>
  <si>
    <t>Tính chất nông hóa</t>
  </si>
  <si>
    <t>Dữ liệu về nhu cầu dinh dưỡng của các loại cây trồng</t>
  </si>
  <si>
    <t>Nhu cầu dinh dưỡng đạm của các loại cây trồng</t>
  </si>
  <si>
    <t>Nhu cầu dinh dưỡng lân của các loại cây trồng</t>
  </si>
  <si>
    <t>Nhu cầu dinh dưỡng kali của các loại cây trồng</t>
  </si>
  <si>
    <t xml:space="preserve">ĐTQL = ∑(Li x Ti x Fi x Ri) = </t>
  </si>
  <si>
    <t>- ĐTQLQĐ: Tổng số đối tượng quản lý quy đổi (được làm tròn đến 1 chữ số sau dấu phảy).</t>
  </si>
  <si>
    <t>- Li: hệ số yếu tố ảnh hưởng Số lượng lớp, bảng dữ liệu của ĐTQL thứ i</t>
  </si>
  <si>
    <t>- Ti: hệ số yếu tố ảnh hưởng Kiểu dữ liệu của ĐTQL thứ i</t>
  </si>
  <si>
    <t>- Fi: hệ số yếu tố ảnh hưởng Số lượng trường thông tin của ĐTQL thứ i</t>
  </si>
  <si>
    <t>- Ri: hệ số yếu tố ảnh hưởng số lượng quan hệ của ĐTQL thứ i</t>
  </si>
  <si>
    <t>- n: số lượng ĐTQL (được xác định trong tài liệu Danh mục đối tượng quản lý và các thông tin chi tiết theo mẫu M1.2)</t>
  </si>
  <si>
    <t>Tên đối tượng quản lý</t>
  </si>
  <si>
    <t>Các yếu tố ảnh hưởng</t>
  </si>
  <si>
    <t>Quy đổi</t>
  </si>
  <si>
    <t>TT26_2014_BTNMT</t>
  </si>
  <si>
    <t>Số lượng lớp, bảng dữ liệu</t>
  </si>
  <si>
    <t>Li</t>
  </si>
  <si>
    <t>Kiểu dữ liệu</t>
  </si>
  <si>
    <t>Ti</t>
  </si>
  <si>
    <t>Số lượng trường thông tin</t>
  </si>
  <si>
    <t>Fi</t>
  </si>
  <si>
    <t>Số lượng quan hệ</t>
  </si>
  <si>
    <t>Ri</t>
  </si>
  <si>
    <t>ĐỐI TƯỢNG PHI KHÔNG GIAN</t>
  </si>
  <si>
    <t>Mục 6.2 - Trang 12</t>
  </si>
  <si>
    <t>Phi không gian</t>
  </si>
  <si>
    <t>ĐỐI TƯỢNG KHÔNG GIAN</t>
  </si>
  <si>
    <t>Không gian</t>
  </si>
  <si>
    <t>Tổng ĐTQL</t>
  </si>
  <si>
    <t>Tổng hợp Dự toán kinh phí nhiệm vụ: "Xây dựng bản đồ nông hóa phục vụ thâm canh chuyển đổi cơ cấu cây trồng và quản lý sử dụng bền vững tài nguyên đất sản xuất nông nghiệp tỉnh Thanh Hóa (giai đoạn 2)"</t>
  </si>
  <si>
    <t xml:space="preserve">Biểu 01: BIỂU CHI TIẾT DỰ TOÁN CHI PHÍ NHÂN CÔNG XÂY DỰNG BẢN ĐỒ </t>
  </si>
  <si>
    <t>(Căn cứ Thông tư số 33/2016/TT-BTNMT ngày 07/11/2016 của Bộ Tài nguyên và Môi trường. Ban hành định mức kinh tế - kỹ thuật điều tra đánh giá đất đai)</t>
  </si>
  <si>
    <t>(Căn cứ Thông tư số 26/2014/TT-BTNMT ngày 28/05/2014 của Bộ Tài nguyên và Môi trường. Ban hành quy trình và định mức kinh tế - kỹ thuật xây dựng cơ sở dữ liệu tài nguyên và môi trường)</t>
  </si>
  <si>
    <t>Đánh giá mức độ thích hợp đất đai cho các cây trồng chính</t>
  </si>
  <si>
    <t>Đánh giá mức độ thích hợp đất đai, đề xuất phương án sử dụng đất sản xuất nông nghiệp đạt hiệu quả cao cho 17 huyện, thị xã, thành phố</t>
  </si>
  <si>
    <t>Định hướng sử dụng đất sản xuất nông nghiệp bền vững và đề xuất các giải pháp khoa học nhằm bảo vệ và cải tạo đất</t>
  </si>
  <si>
    <t>Chồng xếp bản đồ khuyến cáo bón phân cân đối và lớp thông tin về tình hình sử dụng đất để xác định mức bón phân theo mục đích sử dụng đất</t>
  </si>
  <si>
    <t>Xây dựng báo cáo tổng hợp cho 17 huyện, thị xã, thành phố và báo cáo tổng kết nhiệm vụ</t>
  </si>
  <si>
    <t>Xây dựng bộ cơ sở dữ liệu trực tuyến đất sản xuất nông nghiệp cho 17 huyện, thị xã, thành phố</t>
  </si>
  <si>
    <t>Xây dựng bản đồ nông hóa quy mô cấp xã cho 17 huyện, thị xã, thành phố</t>
  </si>
  <si>
    <t>Biểu 03: CHI TIẾT DỰ TOÁN KINH CHẾ ĐỘ CÔNG TÁC PHÍ, PHÂN TÍCH MẪU ĐẤT, HỘI THẢO TẬP HUẤN, MÁY MÓC THIẾT BỊ</t>
  </si>
  <si>
    <t>Chi tiết theo Sheet "Biểu 03"</t>
  </si>
  <si>
    <t>Thuê xe đi điều tra khảo sát và Công tác phí</t>
  </si>
  <si>
    <t>3.3</t>
  </si>
  <si>
    <t>3.4</t>
  </si>
  <si>
    <t>CHI PHÍ THỰC HIỆN NHIỆM VỤ</t>
  </si>
  <si>
    <t>Xây dựng bộ cơ sở dữ liệu trực tuyến đất sản xuất nông nghiệp trên địa bản tỉnh Thanh Hóa</t>
  </si>
  <si>
    <t>1.7</t>
  </si>
  <si>
    <t>1.7.1</t>
  </si>
  <si>
    <t>1.7.2</t>
  </si>
  <si>
    <t>1.7.3</t>
  </si>
  <si>
    <t>1.7.4</t>
  </si>
  <si>
    <t>1.7.5</t>
  </si>
  <si>
    <t>1.7.6</t>
  </si>
  <si>
    <t>4.4</t>
  </si>
  <si>
    <t>Thuế GTGT (10%*A)</t>
  </si>
  <si>
    <t>TỔNG HỢP KINH PHÍ</t>
  </si>
  <si>
    <t>Chi phí phân tích mẫu đất (vận dụng 60% đơn giá theo các Quyết định về định mức giá phân tích mẫu)</t>
  </si>
  <si>
    <t xml:space="preserve">Kinh phí (đồng) </t>
  </si>
  <si>
    <t>Xây dựng cơ sở dữ liệu trực tuyến (webgis) phục vụ quản lý và chỉ đạo sản xuất nông nghiệp trên địa bàn tỉnh Thanh Hóa (vận dụng 70% định mức theo TT26)</t>
  </si>
  <si>
    <t>Xây dựng cơ sở dữ liệu trực tuyến (webgis) phục vụ quản lý và chỉ đạo sản xuất nông nghiệp cho 17 huyện, thị xã, thành phố</t>
  </si>
  <si>
    <t>QĐ 19/2020 (Phụ lục III: Đơn giá hoạt đồng quan tắc môi trường đất)</t>
  </si>
  <si>
    <t>QĐ 1979/2019 (Phụ lục 01. Trang 8)</t>
  </si>
  <si>
    <t>Mục 4.1.1.3</t>
  </si>
  <si>
    <t>Số TT 7</t>
  </si>
  <si>
    <t>Số TT 5</t>
  </si>
  <si>
    <t>Số TT 6</t>
  </si>
  <si>
    <t>Số TT 4</t>
  </si>
  <si>
    <t>Số TT 8</t>
  </si>
  <si>
    <t>Số TT 9</t>
  </si>
  <si>
    <t>Số TT 13</t>
  </si>
  <si>
    <t>Số TT 12</t>
  </si>
  <si>
    <t>Số TT 20</t>
  </si>
  <si>
    <t>Số TT 22</t>
  </si>
  <si>
    <t>Số TT 21</t>
  </si>
  <si>
    <t>Mục 4.1.1.5</t>
  </si>
  <si>
    <t>Mục 4.1.1.6</t>
  </si>
  <si>
    <t>Mục 4.1.1.7</t>
  </si>
  <si>
    <t>Mục 4.1.1.8</t>
  </si>
  <si>
    <t>Mục 4.1.1.2</t>
  </si>
  <si>
    <t>Mục 2.7</t>
  </si>
  <si>
    <t>Mục 2.8</t>
  </si>
  <si>
    <t>Mục 2.9</t>
  </si>
  <si>
    <t>Mục 2.12</t>
  </si>
  <si>
    <t>Mục 2.13</t>
  </si>
  <si>
    <t>Mục 2.20</t>
  </si>
  <si>
    <t>Mục 2.21</t>
  </si>
  <si>
    <t>Mục 2.23</t>
  </si>
  <si>
    <t>Mục 2.5</t>
  </si>
  <si>
    <t>Mục 2.6</t>
  </si>
  <si>
    <t>Mục 2.4</t>
  </si>
  <si>
    <t>QĐ 1966/2019 (Phụ lục 1.2 Trang 1, 2)</t>
  </si>
  <si>
    <t>In bản đồ và xây dựng báo cáo thuyết minh bản đồ nông hóa cấp huyện</t>
  </si>
  <si>
    <t>Kđh</t>
  </si>
  <si>
    <t>Tách bản đồ Nông hóa cấp huyện thành bản đồ nông hóa cấp xã để xây dựng chú dẫn và biên tập bản đồ cấp xã tỷ lệ 1:5.000-1/10.000</t>
  </si>
  <si>
    <t>Chồng xếp bản đồ nông hóa và lớp thông tin tình hình sử dụng đất để xác định chất lượng đất theo mục đích sử dụng</t>
  </si>
  <si>
    <t>Công điều tra khoanh đất</t>
  </si>
  <si>
    <t>Phụ cấp lưu trú (16 người x 6 ngày/huyện x 17 huyện)</t>
  </si>
  <si>
    <t>Khoán ngủ tại địa phương (16 người x 5 đêm/huyện x 17 huyện)</t>
  </si>
  <si>
    <t>Xây dựng hệ thống chú dẫn và biên tập bản đồ khuyến cáo bón phân cấp huyện (17 huyện)</t>
  </si>
  <si>
    <t>Xây dựng hệ thống chú dẫn và biên tập bản đồ thích hợp đất đai cấp huyện (17 huyện)</t>
  </si>
  <si>
    <t>DỰ TOÁN CHI TIẾT</t>
  </si>
  <si>
    <t>Nhiệm vụ: Xây dựng bản đồ nông hóa phục vụ thâm canh chuyển đổi cơ cấu cây trồng và quản lý sử dụng bền vững tài nguyên đất sản xuất nông nghiệp tỉnh Thanh Hóa (giai đoạn 2)</t>
  </si>
  <si>
    <t>Số khoanh đất MN</t>
  </si>
  <si>
    <t>Số khoanh đất ĐB</t>
  </si>
  <si>
    <t>Tổng số khoanh đất</t>
  </si>
  <si>
    <t>Tách bản đồ Nông hóa toàn vùng thành bản đồ nông hóa cấp huyện để xây dựng chú dẫn và biên tập bản đồ cấp huyện tỷ lệ 1:25.000</t>
  </si>
  <si>
    <t>Tách bản đồ khuyến cáo bón phân toàn vùng thành bản đồ khuyến cáo bón phân cấp huyện để xây dựng chú dẫn và biên tập bản đồ cấp huyện tỷ lệ 1:25.000</t>
  </si>
  <si>
    <t>(10)</t>
  </si>
  <si>
    <t>(12)</t>
  </si>
  <si>
    <t>Phiếu</t>
  </si>
  <si>
    <t>Tờ A0</t>
  </si>
  <si>
    <t>- Túi nilon</t>
  </si>
  <si>
    <t>kg</t>
  </si>
  <si>
    <t>- Dây chun</t>
  </si>
  <si>
    <t>- Dây nilon</t>
  </si>
  <si>
    <t>cuộn</t>
  </si>
  <si>
    <t>- Bao tải</t>
  </si>
  <si>
    <t>cái</t>
  </si>
  <si>
    <t>Hộp</t>
  </si>
  <si>
    <t>- Bút chì</t>
  </si>
  <si>
    <t>- Bút dạ phản quang</t>
  </si>
  <si>
    <t>- Balo</t>
  </si>
  <si>
    <t>- Cuốc, xẻng, dầm lấy mẫu</t>
  </si>
  <si>
    <t>\</t>
  </si>
  <si>
    <t>In bản đồ và xây dựng báo cáo thuyết minh bản đồ nông hóa cấp xã</t>
  </si>
  <si>
    <t>Số đơn vị báo cáo</t>
  </si>
  <si>
    <t>Số đơn vị đề nghị</t>
  </si>
  <si>
    <t>Xây dựng hệ thống chú dẫn và biên tập bản đồ nông hóa cấp huyện (17 huyện) 50%</t>
  </si>
  <si>
    <t>BẢNG TÍNH CÁC HỆ SỐ ĐIỀU CHỈNH</t>
  </si>
  <si>
    <t>Hệ số quy mô diện tích</t>
  </si>
  <si>
    <t>100.000-&lt;350.000</t>
  </si>
  <si>
    <t>0,93-0,98</t>
  </si>
  <si>
    <t>Hệ số đơn vị hành chính</t>
  </si>
  <si>
    <t>12-30</t>
  </si>
  <si>
    <t>1,01-1,19</t>
  </si>
  <si>
    <t>Hệ số mức độ khó khăn</t>
  </si>
  <si>
    <t>diện tích MN</t>
  </si>
  <si>
    <t>diện tích MX</t>
  </si>
  <si>
    <t>Thu thập nhóm tài liệu, số liệu, bản đồ về điều liện tự nhiên, tài nguyên thiên nhiên có liên quan đến chất lượng đất, tiềm năng đất đai</t>
  </si>
  <si>
    <t>Tổng hợp, phân tích, đánh giá về tính chính xác, khách quan, thời sự của thông tin, tài liệu, số liệu, bản đồ đã thu thập</t>
  </si>
  <si>
    <t xml:space="preserve">Lựa chọn thông tin, tài liệu, số liệu, bản đồ có thể sử dụng, xác định những thông tin, tài liệu, số liệu, bản đồ cần điều tra bổ sung </t>
  </si>
  <si>
    <t>Xây dựng báo cáo đánh giá, lựa chọn các thông tin, tài liệu, số liệu, bản đồ đã thu thập</t>
  </si>
  <si>
    <t>Ktlx</t>
  </si>
  <si>
    <t xml:space="preserve">Phân cấp thông tin theo các nhóm chỉ tiêu đến từng khoanh đất </t>
  </si>
  <si>
    <t xml:space="preserve">Xây dựng hệ thống chú dẫn và biên tập bản đồ nông hóa </t>
  </si>
  <si>
    <t>In bản đồ và xây dựng báo cáo thuyết minh bản đồ nông hóa</t>
  </si>
  <si>
    <t xml:space="preserve">Xây dựng hệ thống chú dẫn và biên tập bản đồ đơn vị đất đai </t>
  </si>
  <si>
    <t xml:space="preserve">Xây dựng hệ thống chú dẫn và biên tập bản đồ thích hợp đất đai cho các cây trồng chính </t>
  </si>
  <si>
    <t xml:space="preserve">Xây dựng các phụ lục, bản đồ thu nhỏ đính kèm báo cáo </t>
  </si>
  <si>
    <t xml:space="preserve">Biên soạn báo cáo tổng hợp kết quả đánh giá mức độ thích hợp đất đai </t>
  </si>
  <si>
    <t>Tách bản đồ thích hợp đất đai toàn vùng thành bản đồ nông hóa cấp huyện tỷ lệ 1:25.000</t>
  </si>
  <si>
    <t>Xác định mục quan điểm, mục tiêu chiến lược khai thác tài nguyên đất bền vững</t>
  </si>
  <si>
    <t>Xác định các giải pháp về qianr lý, sử dụng đất bền vững</t>
  </si>
  <si>
    <t>Xác định các giải pháp kỹ thuật để bảo vệ và cải tạo đất</t>
  </si>
  <si>
    <t>Đề xuất định hướng sử dụng đất</t>
  </si>
  <si>
    <t>Xây dựng định hướng sử dụng đất</t>
  </si>
  <si>
    <t>Xây dựng bản đồ định hướng sử dụng đất</t>
  </si>
  <si>
    <t>Xây dựng báo cáo thuyết minh định hướng sử dụng đất</t>
  </si>
  <si>
    <t xml:space="preserve">Xây dựng hệ thống chú dẫn và biên tập bản đồ khuyến cáo sử dụng phân bón </t>
  </si>
  <si>
    <t xml:space="preserve">In bản đồ và xây dựng báo cáo thuyết minh bản đồ khuyến cáo bón phân cân đối </t>
  </si>
  <si>
    <t>Nhân sao tài liệu, tổ chức hội thảo</t>
  </si>
  <si>
    <t>Biên soạn báo cáo tổng hợp kết quả điều tra, đánh giá</t>
  </si>
  <si>
    <t>Hoàn chỉnh tài liệu điều tra, đánh giá</t>
  </si>
  <si>
    <t>Xây dựng báo cáo tóm tắt, báo cáo tổng kết</t>
  </si>
  <si>
    <t>5.5</t>
  </si>
  <si>
    <t>Chi phí 01 hội thảo</t>
  </si>
  <si>
    <t>Phụ cấp lưu trú (4 người x 02 ngày)</t>
  </si>
  <si>
    <t>Thuê phòng ngủ (4 người x 1 đêm)</t>
  </si>
  <si>
    <t>Chi phí in sản phẩm giao nộp</t>
  </si>
  <si>
    <t xml:space="preserve">Chi phí quản lý Nhiệm vụ </t>
  </si>
  <si>
    <t>Chi phí thẩm định giá</t>
  </si>
  <si>
    <t>Quyền</t>
  </si>
  <si>
    <t xml:space="preserve">Chi phí in sản phẩm giao nộp (Bản đồ, báo cáo các loại): </t>
  </si>
  <si>
    <r>
      <t>Mn</t>
    </r>
    <r>
      <rPr>
        <vertAlign val="superscript"/>
        <sz val="11"/>
        <rFont val="Times New Roman"/>
        <family val="1"/>
      </rPr>
      <t>2+</t>
    </r>
    <r>
      <rPr>
        <sz val="11"/>
        <rFont val="Times New Roman"/>
        <family val="1"/>
      </rPr>
      <t xml:space="preserve"> trao đổi</t>
    </r>
  </si>
  <si>
    <t>Dự toán kinh phí</t>
  </si>
  <si>
    <t>Hội nghị xin ý kiến của Tổ công tác và lãnh đạo các huyện: 01 hội nghị</t>
  </si>
  <si>
    <t>Hội thảo cấp tỉnh xin ý kiến chuyên gia</t>
  </si>
  <si>
    <t>Bảng 7, Thông tư số 33/2016/TT-BTNMT ngày 7/11/2016 của Bộ Tài nguyên và Môi trường</t>
  </si>
  <si>
    <t>Bước 1, Bảng 7, Thông tư số 33/2016/TT-BTNMT ngày 7/11/2016 của Bộ Tài nguyên và Môi trường</t>
  </si>
  <si>
    <t>Mục 1.1 (Trang 18)</t>
  </si>
  <si>
    <t>Mục 1.2 (Trang 18)</t>
  </si>
  <si>
    <t>Mục 2.1 (Trang 18)</t>
  </si>
  <si>
    <t>Mục 2.2 (Trang 18)</t>
  </si>
  <si>
    <t>Mục 2.3 (Trang 18)</t>
  </si>
  <si>
    <t>Bước 2, Bảng 7, Thông tư số 33/2016/TT-BTNMT ngày 7/11/2016 của Bộ Tài nguyên và Môi trường</t>
  </si>
  <si>
    <t>Chuẩn bị bản đồ kết quả điều tra</t>
  </si>
  <si>
    <t>Mục 1.2.1 (Trang 18)</t>
  </si>
  <si>
    <t>Mục 1.2.2 (Trang 18)</t>
  </si>
  <si>
    <t>Tính toán số lượng phẫu diện đấtm số lượng khoanh đất điều tra</t>
  </si>
  <si>
    <t>Khảo sát sơ bộ và xác định thông tin, nội dung, số lượng phẫu diện khu vực cần điều tra tại thực địa</t>
  </si>
  <si>
    <t>Xác định ranh giới khoanh đất, điểm đào phẫu diện đất lên bản đồ kết quả điều tra</t>
  </si>
  <si>
    <t>Mục 1.3 (Trang 18)</t>
  </si>
  <si>
    <t>Xây dựng báo cáo kế hoạch điều tra thực địa</t>
  </si>
  <si>
    <t>Mục 1.4 (Trang 18)</t>
  </si>
  <si>
    <t>Mục 1.5 (Trang 18)</t>
  </si>
  <si>
    <t>Mục 2.2.1 (Trang 19)</t>
  </si>
  <si>
    <t>Mục 2.2.2 (Trang 19)</t>
  </si>
  <si>
    <t>Mục 2.2.3 (Trang 19)</t>
  </si>
  <si>
    <t>Sao lưu mạng lưới điểm đào phẫu diện, ranh giới khoanh đất theo kết quả điều tra thực địa lên bản đồ chấm điểm điều tra</t>
  </si>
  <si>
    <t>Bước 3, Bảng 7, Thông tư số 33/2016/TT-BTNMT ngày 7/11/2016 của Bộ Tài nguyên và Môi trường</t>
  </si>
  <si>
    <t>Mục 1 (Trang 19)</t>
  </si>
  <si>
    <t>Chuẩn bị các bản đồ  kết quả sản phẩm</t>
  </si>
  <si>
    <t>Mục 2 (Trang 19)</t>
  </si>
  <si>
    <t>Mục 3 (Trang 19)</t>
  </si>
  <si>
    <t>Mục 4 (Trang 19)</t>
  </si>
  <si>
    <t xml:space="preserve">Tổng hợp bảng biểu số liệu phục vụ xây dựng bản đồ </t>
  </si>
  <si>
    <t xml:space="preserve">Tổng hợp, xử lý kết quả điều tra khoanh đất </t>
  </si>
  <si>
    <t>Mục 5 (Trang 19)</t>
  </si>
  <si>
    <t>Mục 6 (Trang 19)</t>
  </si>
  <si>
    <t>Xây dựng báo cáo kết quả tổng hợp, xử lý thông tin</t>
  </si>
  <si>
    <t xml:space="preserve">Xác định và phân cấp bộ chỉ tiêu đánh giá chất lượng đất </t>
  </si>
  <si>
    <t>Bước 4, Bảng 7, Thông tư số 33/2016/TT-BTNMT ngày 7/11/2016 của Bộ Tài nguyên và Môi trường</t>
  </si>
  <si>
    <t>Mục 1.1 (Trang 19)</t>
  </si>
  <si>
    <t>Mục 1.2 (Trang 19)</t>
  </si>
  <si>
    <t>Mục 1.3 (Trang 19)</t>
  </si>
  <si>
    <t xml:space="preserve">Thành lập các lớp thông tin chuyên đề về đất, địa hình, khí hậu, chế độ nước, độ phì nhiêu của đất, tình hình sử dụng đất </t>
  </si>
  <si>
    <t>Chồng xếp các lớp thông tin chuyên đề về đất, độ dốc, khí hậu, chế độ nước, độ phì nhiêu của đất để xây dựng bản đồ</t>
  </si>
  <si>
    <t>Mục 1.5 (Trang 20)</t>
  </si>
  <si>
    <t>Mục 1.6 (Trang 20)</t>
  </si>
  <si>
    <t>Mục 1.4 (Trang 19)</t>
  </si>
  <si>
    <t>Mục 1.7 (Trang 20)</t>
  </si>
  <si>
    <t>Mục 1.8 (Trang 20)</t>
  </si>
  <si>
    <t>Mục 3+4, Bảng 6 Thông tư số 13/2019/TT-BTNMT ngày 07/8/2019 của Bộ Tài nguyên và môi trường (Trang 24)</t>
  </si>
  <si>
    <t>Bước 4, Bảng 18, Thông tư số 33/2016/TT-BTNMT ngày 7/11/2016 của Bộ Tài nguyên và Môi trường</t>
  </si>
  <si>
    <t>Mục 1.1 (Trang 66)</t>
  </si>
  <si>
    <t>Mục 1.2 (Trang 66)</t>
  </si>
  <si>
    <t>Mục 1.3 (Trang 66)</t>
  </si>
  <si>
    <t>Mục 1.4 (Trang 66)</t>
  </si>
  <si>
    <t>Mục 1.5 (Trang 66)</t>
  </si>
  <si>
    <t>Mục 2.1 (Trang 66)</t>
  </si>
  <si>
    <t>Mục 2.2 (Trang 66)</t>
  </si>
  <si>
    <t>Mục 2.3 (Trang 66)</t>
  </si>
  <si>
    <t>Mục 3.1 (Trang 67)</t>
  </si>
  <si>
    <t>Mục 3.2 (Trang 67)</t>
  </si>
  <si>
    <t>Bước 5, Bảng 18, Thông tư số 33/2016/TT-BTNMT ngày 7/11/2016 của Bộ Tài nguyên và Môi trường</t>
  </si>
  <si>
    <t>Mục 1 (Trang 67)</t>
  </si>
  <si>
    <t>Mục 2 (Trang 67)</t>
  </si>
  <si>
    <t>Mục 3 (Trang 67)</t>
  </si>
  <si>
    <t>Mục 4 (Trang 67)</t>
  </si>
  <si>
    <t>Mục 5 (Trang 67)</t>
  </si>
  <si>
    <t>Bước 6, Bảng 7, Thông tư số 33/2016/TT-BTNMT ngày 7/11/2016 của Bộ Tài nguyên và Môi trường</t>
  </si>
  <si>
    <t>Mục 1 (Trang 21)</t>
  </si>
  <si>
    <t>Mục 2 (Trang 21)</t>
  </si>
  <si>
    <t>Mục 3 (Trang 21)</t>
  </si>
  <si>
    <t>Mục 4.1 (Trang 22)</t>
  </si>
  <si>
    <t>Mục 4.2 (Trang 22)</t>
  </si>
  <si>
    <t>Mục 4.3 (Trang 22)</t>
  </si>
  <si>
    <t>Mục 2.8, Bước 4, Bảng 7, Thông tư số 33/2016/TT-BTNMT ngày 7/11/2016 của Bộ Tài nguyên và Môi trường (Trang 20)</t>
  </si>
  <si>
    <t>Mục 2.1 (Trang 20)</t>
  </si>
  <si>
    <t>Mục 2.2 (Trang 20)</t>
  </si>
  <si>
    <t>Mục 2.3 (Trang 20)</t>
  </si>
  <si>
    <t>Mục 2.4 (Trang 20)</t>
  </si>
  <si>
    <t>Mục 2.5 (Trang 20)</t>
  </si>
  <si>
    <t>Phân cấp thông tin theo các nhóm chỉ tiêu phân bón  đến từng khoanh đất</t>
  </si>
  <si>
    <t>Tính toán mức phân bón và nhập thông tin thuộc tính khuyến cáo bón phân cân đối đến từng khoanh đất theo các lớp thông tin phân bón đã tính toán</t>
  </si>
  <si>
    <t>Xác định cơ sở để tính toán được lượng phân bón cần thiết nhằm đạt năng suất mục tiêu</t>
  </si>
  <si>
    <t>Mục 2.8 (Trang 20)</t>
  </si>
  <si>
    <t>Bước 7, Bảng 7, Thông tư số 33/2016/TT-BTNMT ngày 7/11/2016 của Bộ Tài nguyên và Môi trường</t>
  </si>
  <si>
    <t>Mục 1 (Trang 22)</t>
  </si>
  <si>
    <t>Mục 2 (Trang 22)</t>
  </si>
  <si>
    <t>Mục 3 (Trang 22)</t>
  </si>
  <si>
    <t>Mục 4 (Trang 22)</t>
  </si>
  <si>
    <t>Mục 5 (Trang 22)</t>
  </si>
  <si>
    <t>Mục 6 (Trang 22)</t>
  </si>
  <si>
    <t>Xây dựng báo cáo tổng hợp và báo cáo tổng kết nhiệm vụ</t>
  </si>
  <si>
    <t>Bảng 1,2  (Trang 30)</t>
  </si>
  <si>
    <t>Bảng 6, 7, 8, 9, 10(Trang 32-34)</t>
  </si>
  <si>
    <t>Tổng công (50% định mức)</t>
  </si>
  <si>
    <t>Bảng 22, 23, 24, 25 (Trang 38-40)</t>
  </si>
  <si>
    <t>Bảng 31, 32 (Trang 42)</t>
  </si>
  <si>
    <t>Bảng 36, 37, 38, 39 (Trang 4-44)</t>
  </si>
  <si>
    <t>Bảng 43, 44 (Trang 46)</t>
  </si>
  <si>
    <t>Bảng 46, 47 (Trang 48-49)</t>
  </si>
  <si>
    <t>Bảng 50, 51, 52, 53  (Trang 50-52)</t>
  </si>
  <si>
    <t>Bảng 57, 58, 59, 60 (Trang 53-55)</t>
  </si>
  <si>
    <t>*</t>
  </si>
  <si>
    <t>Báo cáo tổng kết nhiệm vụ</t>
  </si>
  <si>
    <t>USB copy tài liệu</t>
  </si>
  <si>
    <t>Bút bi</t>
  </si>
  <si>
    <t>Bút dạ lông dầu</t>
  </si>
  <si>
    <t>Kẹp tài liệu</t>
  </si>
  <si>
    <t>Túi clear</t>
  </si>
  <si>
    <t>In bản đồ đi điều tra</t>
  </si>
  <si>
    <t>Phô tô phiếu điều tra</t>
  </si>
  <si>
    <t>Mục 4.1.1.2 Phục lục 01 Quyết định số 1979/QĐ-BTNMT ngày 31/7/2019 của Bộ Tài nguyên và môi trường</t>
  </si>
  <si>
    <t>Mục 7, Phụ lục III, Quyết định số 19/2020/QĐ-UBND ngày 07/5/2020 của UBND tỉnh; Mục 2.7, Phụ lục 1.2 Quyết định số 1966/2019/QĐ-BTNMT ngày 30/7/2019 và Mục 4.1.1.3, Phụ lục 01 Quyết định số 1979/QĐ-BTNMT ngày 31/7/2019 của Bộ Tài nguyên và môi trường</t>
  </si>
  <si>
    <t>Mục 5, Phụ lục III, Quyết định số 19/2020/QĐ-UBND ngày 07/5/2020 của UBND tỉnh; Mục 2.5, Phụ lục 1.2 Quyết định số 1966/2019/QĐ-BTNMT ngày 30/7/2019 và Mục 4.1.1.6, Phụ lục 01 Quyết định số 1979/QĐ-BTNMT ngày 31/7/2019 của Bộ Tài nguyên và môi trường</t>
  </si>
  <si>
    <t>Mục 6, Phụ lục III, Quyết định số 19/2020/QĐ-UBND ngày 07/5/2020 của UBND tỉnh; Mục 2.6, Phụ lục 1.2, Quyết định số 1966/2019/QĐ-BTNMT ngày 30/7/2019 và Mục 4.1.1.7, Phụ lục 01 Quyết định số 1979/QĐ-BTNMT ngày 31/7/2019 của Bộ Tài nguyên và môi trường</t>
  </si>
  <si>
    <t>Mục 4, Phụ lục III, Quyết định số 19/2020/QĐ-UBND ngày 07/5/2020 của UBND tỉnh; Mục 2.4, Phụ lục 1.2, Quyết định số 1966/2019/QĐ-BTNMT ngày 30/7/2019 và Mục 4.1.1.8, Phụ lục 01 Quyết định số 1979/QĐ-BTNMT ngày 31/7/2019 của Bộ Tài nguyên và môi trường</t>
  </si>
  <si>
    <t>Mục 4.1.1.5 Phục lục 01 Quyết định số 1979/QĐ-BTNMT ngày 31/7/2019 của Bộ Tài nguyên và môi trường</t>
  </si>
  <si>
    <t>Mục 8, Phụ lục III, Quyết định số 19/2020/QĐ-UBND ngày 07/5/2020 của UBND tỉnh; Mục 2.8, Phụ lục 1.2 Quyết định số 1966/2019/QĐ-BTNMT ngày 30/7/2019 của Bộ Tài nguyên và môi trường</t>
  </si>
  <si>
    <t>Mục 9, Phụ lục III, Quyết định số 19/2020/QĐ-UBND ngày 07/5/2020 của UBND tỉnh; Mục 2.9, Phụ lục 1.2 Quyết định số 1966/2019/QĐ-BTNMT ngày 30/7/2019 của Bộ Tài nguyên và môi trường</t>
  </si>
  <si>
    <t>Mục 13, Phụ lục III, Quyết định số 19/2020/QĐ-UBND ngày 07/5/2020 của UBND tỉnh; Mục 2.13, Phụ lục 1.2 Quyết định số 1966/2019/QĐ-BTNMT ngày 30/7/2019 của Bộ Tài nguyên và môi trường</t>
  </si>
  <si>
    <t>Mục 12, Phụ lục III, Quyết định số 19/2020/QĐ-UBND ngày 07/5/2020 của UBND tỉnh; Mục 2.12, Phụ lục 1.2 Quyết định số 1966/2019/QĐ-BTNMT ngày 30/7/2019 của Bộ Tài nguyên và môi trường</t>
  </si>
  <si>
    <t>Mục 20, Phụ lục III, Quyết định số 19/2020/QĐ-UBND ngày 07/5/2020 của UBND tỉnh; Mục 2.20, Phụ lục 1.2 Quyết định số 1966/2019/QĐ-BTNMT ngày 30/7/2019 của Bộ Tài nguyên và môi trường</t>
  </si>
  <si>
    <t>Mục 22, Phụ lục III, Quyết định số 19/2020/QĐ-UBND ngày 07/5/2020 của UBND tỉnh; Mục 2.21, Phụ lục 1.2 Quyết định số 1966/2019/QĐ-BTNMT ngày 30/7/2019 của Bộ Tài nguyên và môi trường</t>
  </si>
  <si>
    <t>Mục 21, Phụ lục III, Quyết định số 19/2020/QĐ-UBND ngày 07/5/2020 của UBND tỉnh; Mục 2.23, Phụ lục 1.2 Quyết định số 1966/2019/QĐ-BTNMT ngày 30/7/2019 của Bộ Tài nguyên và môi trường</t>
  </si>
  <si>
    <t>Thuê xe đi lại</t>
  </si>
  <si>
    <t>Khoản 2, Điều 12 Thông tư 40/2017/TT - BTC ngày 28/4/2017
Tiết a Khoản 2, Điều 5, Thông tư 36/2018/TT - BTC</t>
  </si>
  <si>
    <t>Chi phí lập đề cương nhiệm vụ</t>
  </si>
  <si>
    <t>Chi phí lập HSMT, đánh gía hồ sơ dự thầu</t>
  </si>
  <si>
    <t>Chi phí thẩm định HSMT,  thẩm định kết quả lựa chọn nhà thầu</t>
  </si>
  <si>
    <t>Khoản 2, Điều 12 Thông tư 40/2017/TT - BTC ngày 28/4/2017
Tiết a Khoản 2, Điều 5, Thông tư 36/2018/TT-BTC</t>
  </si>
  <si>
    <t>Số mẫu đã được phê duyệt tại Quyết định số 1521/QĐ-UBND ngày 17/4/2024 của Chủ tịch UBND tỉnh</t>
  </si>
  <si>
    <t>Lớp</t>
  </si>
  <si>
    <t>Phụ lục 1: TÍNH TOÁN SỐ LƯỢNG MẪU CẦN THU THẬP</t>
  </si>
  <si>
    <t>Phụ lục 2: Xây dựng đề cương nhiệm vụ</t>
  </si>
  <si>
    <t>Phụ lục 3: XÁC ĐỊNH ĐỐI TƯỢNG QUẢN LÝ CHO VIỆC XÂY DỰNG CƠ SỞ DỮ LIỆU</t>
  </si>
  <si>
    <t>Phụ lục 4: BỘ DỮ LIỆU CẦN ĐƯỢC CHUẨN HÓA</t>
  </si>
  <si>
    <t>Phụ lục 5. TRƯỜNG DỮ LIỆU KHÔNG GIAN</t>
  </si>
  <si>
    <t>Phụ lục 6: TRƯỜNG DỮ LIỆU PHI KHÔNG GIAN</t>
  </si>
  <si>
    <t>Phụ lục 7: QUY ĐỔI ĐỐI TƯỢNG QUẢN LÝ</t>
  </si>
  <si>
    <t xml:space="preserve">Phụ lục 9: Số xã làm bản đồ Giai đoạn 2 </t>
  </si>
  <si>
    <t>Phụ lục 10: Đơn giá phân tích mẫu đất</t>
  </si>
  <si>
    <t>Phụ lục 8: Đơn giá tiền lương (mức lương cơ sở 2.340.000 đồng/tháng kể từ 01/7/2024)</t>
  </si>
  <si>
    <t>Thuê hội trường (bao gồm cả băng zôn, trang trí, thiết bị âm thanh)</t>
  </si>
  <si>
    <t>DT năm 2023</t>
  </si>
  <si>
    <t>Xây dựng bản đồ nông hóa cho 16 huyện, thị xã, thành phố và tách thành bản đồ nông hóa cấp huyện và cấp xã</t>
  </si>
  <si>
    <t>Xây dựng bản đồ nông hóa cho 16 huyện trên địa bàn tỉnh Thanh Hóa</t>
  </si>
  <si>
    <t>Đánh giá mức độ thích hợp đất đai, đề xuất phương án sử dụng đất sản xuất nông nghiệp đạt hiệu quả cao cho 16 huyện, thị xã, thành phố</t>
  </si>
  <si>
    <t>Xác định yêu cầu sử dụng đất của các cây trồng chính của 16 huyện, thị xã, thành phố</t>
  </si>
  <si>
    <t>Xây dựng bản đồ khuyến cáo bón phân cân đối và chế độ canh tác thích hợp cho một số cây trồng chính cho 16 huyện, thị xã, thành phố</t>
  </si>
  <si>
    <t>Xây dựng bản đồ mức độ thích hợp đất đai cho các cây trồng chính của 16 huyện, thị xã, thành phố</t>
  </si>
  <si>
    <t>Phụ cấp lưu trú (bằng số công ngoại nghiệp tại Biểu 01 tương đương 24 người x 11 ngày/huyện x 16 huyện)</t>
  </si>
  <si>
    <t>Khoán ngủ tại địa phương (24 người x 10 đêm/huyện x 16 huyện)</t>
  </si>
  <si>
    <t>Thuê xe đi lại (4 xe 7 chỗ để chở 6 người/xe x 05 ngày/ huyện x 16 huyện)</t>
  </si>
  <si>
    <t>Hội thảo cấp huyện xin ý kiến về: "Xác định tính thích nghi của cây trồng, xây dựng phương án chuyển đổi cơ cấu cây trồng để đạt hiệu quả cao": 16 huyện x 01 hội thảo/huyện = 16 hội thảo.</t>
  </si>
  <si>
    <t>Giảm 1</t>
  </si>
  <si>
    <t>Giảm 2</t>
  </si>
  <si>
    <t>Bản đồ nông hóa cấp huyện cho 16 huyện</t>
  </si>
  <si>
    <t>Bản đồ thích hợp đất đai cấp huyện cho 16 huyện</t>
  </si>
  <si>
    <t>Bản đồ khuyến cáo bón phân cân đối cấp huyện cho 16 huyện</t>
  </si>
  <si>
    <t>Thuyết minh bản đồ thích hợp đất đai cho 16 huyện</t>
  </si>
  <si>
    <t>Thuyết minh bản đồ nông hóa cho 16 huyện</t>
  </si>
  <si>
    <t>Thuyết minh bản đồ khuyến cáo bón phân cân đối cho 16 huyện</t>
  </si>
  <si>
    <t>Thuyết minh bản đồ nông hóa cấp xã cho 370 xã</t>
  </si>
  <si>
    <t xml:space="preserve"> Báo cáo đề xuất phương án sử dụng đất sản xuất nông nghiệp đạt hiệu quả cao cho 16 huyện</t>
  </si>
  <si>
    <t>Báo cáo đánh giá hiệu quả sử dụng đất sản xuất nông nghiệp cho 16 huyện</t>
  </si>
  <si>
    <t xml:space="preserve"> Bộ số liệu kết quả phân tích cho 16 huyện</t>
  </si>
  <si>
    <t>Bản đồ nông hóa cấp xã cho 370 xã</t>
  </si>
  <si>
    <t>Diện tích điều tra: 136.774 ha (trong đó Đồng bằng, ven biển: 117.887 ha; Trung du, miền núi: 18.887 ha)</t>
  </si>
  <si>
    <t>In bản đồ và xây dựng báo cáo thuyết minh bản đồ thích hợp đất đai cho 16 huyện, thị xã, thành phố</t>
  </si>
  <si>
    <t>In bản đồ và xây dựng báo cáo thuyết minh bản đồ khuyến cáo bón phân cho 16 huyện, thị xã, thành phố</t>
  </si>
  <si>
    <t>Hội nghị tập huấn hướng dẫn sử dụng cơ sở dữ liệu trực tuyến và chuyển giao kết quả: 17 hội nghị (gồm 01 hội nghị cấp tỉnh và 16 hội nghị cấp huyện)</t>
  </si>
  <si>
    <t>Thù lao giảng viên đứng lớp (17 lớp x 4 buổi)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</si>
</sst>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0.00_);_(* \(#,##0.00\);_(* &quot;-&quot;??_);_(@_)"/>
    <numFmt numFmtId="164" formatCode="_(* #,##0_);_(* \(#,##0\);_(* &quot;-&quot;??_);_(@_)"/>
    <numFmt numFmtId="165" formatCode="_ * #,##0_)\ _V_N_D_ ;_ * \(#,##0\)\ _V_N_D_ ;_ * &quot;-&quot;??_)\ _V_N_D_ ;_ @_ "/>
    <numFmt numFmtId="166" formatCode="_(* #,##0.0_);_(* \(#,##0.0\);_(* &quot;-&quot;??_);_(@_)"/>
    <numFmt numFmtId="167" formatCode="_(* #,##0_);_(* \(#,##0\);_(* &quot;-&quot;?_);_(@_)"/>
    <numFmt numFmtId="168" formatCode="0.000"/>
    <numFmt numFmtId="169" formatCode="0.0"/>
    <numFmt numFmtId="170" formatCode="_(* #,##0.000_);_(* \(#,##0.000\);_(* &quot;-&quot;??_);_(@_)"/>
  </numFmts>
  <fonts count="82" x14ac:knownFonts="1">
    <font>
      <sz val="11"/>
      <color theme="1"/>
      <name val="Calibri"/>
      <family val="2"/>
      <scheme val="minor"/>
    </font>
    <font>
      <sz val="11"/>
      <color indexed="8"/>
      <name val="Calibri"/>
      <family val="2"/>
    </font>
    <font>
      <b/>
      <sz val="11"/>
      <name val="Times New Roman"/>
      <family val="1"/>
    </font>
    <font>
      <sz val="11"/>
      <name val="Times New Roman"/>
      <family val="1"/>
    </font>
    <font>
      <sz val="10"/>
      <name val="Arial"/>
      <family val="2"/>
    </font>
    <font>
      <b/>
      <i/>
      <sz val="11"/>
      <name val="Times New Roman"/>
      <family val="1"/>
    </font>
    <font>
      <sz val="12"/>
      <name val="Times New Roman"/>
      <family val="1"/>
    </font>
    <font>
      <sz val="12"/>
      <name val=".VnTime"/>
      <family val="2"/>
    </font>
    <font>
      <sz val="11"/>
      <color indexed="8"/>
      <name val="Calibri"/>
      <family val="2"/>
    </font>
    <font>
      <b/>
      <sz val="12"/>
      <name val="Times New Roman"/>
      <family val="1"/>
    </font>
    <font>
      <b/>
      <i/>
      <sz val="12"/>
      <name val="Times New Roman"/>
      <family val="1"/>
    </font>
    <font>
      <i/>
      <sz val="12"/>
      <name val="Times New Roman"/>
      <family val="1"/>
    </font>
    <font>
      <i/>
      <sz val="12"/>
      <name val="Arial"/>
      <family val="2"/>
    </font>
    <font>
      <i/>
      <sz val="11"/>
      <name val="Times New Roman"/>
      <family val="1"/>
    </font>
    <font>
      <vertAlign val="subscript"/>
      <sz val="11"/>
      <name val="Times New Roman"/>
      <family val="1"/>
    </font>
    <font>
      <vertAlign val="superscript"/>
      <sz val="11"/>
      <name val="Times New Roman"/>
      <family val="1"/>
    </font>
    <font>
      <b/>
      <sz val="14"/>
      <name val="Times New Roman"/>
      <family val="1"/>
    </font>
    <font>
      <b/>
      <sz val="9"/>
      <color indexed="81"/>
      <name val="Tahoma"/>
      <family val="2"/>
    </font>
    <font>
      <b/>
      <sz val="10"/>
      <name val="Times New Roman"/>
      <family val="1"/>
    </font>
    <font>
      <sz val="10"/>
      <name val="Times New Roman"/>
      <family val="1"/>
    </font>
    <font>
      <b/>
      <i/>
      <sz val="10"/>
      <name val="Times New Roman"/>
      <family val="1"/>
    </font>
    <font>
      <i/>
      <sz val="10"/>
      <name val="Times New Roman"/>
      <family val="1"/>
    </font>
    <font>
      <b/>
      <sz val="10"/>
      <color indexed="81"/>
      <name val="Tahoma"/>
      <family val="2"/>
    </font>
    <font>
      <b/>
      <sz val="13"/>
      <name val="Times New Roman"/>
      <family val="1"/>
    </font>
    <font>
      <sz val="9"/>
      <color indexed="81"/>
      <name val="Tahoma"/>
      <family val="2"/>
    </font>
    <font>
      <sz val="8"/>
      <name val="Calibri"/>
      <family val="2"/>
    </font>
    <font>
      <sz val="8"/>
      <name val="Calibri"/>
      <family val="2"/>
    </font>
    <font>
      <sz val="11"/>
      <color theme="1"/>
      <name val="Calibri"/>
      <family val="2"/>
      <scheme val="minor"/>
    </font>
    <font>
      <b/>
      <sz val="11"/>
      <color theme="1"/>
      <name val="Calibri"/>
      <family val="2"/>
      <scheme val="minor"/>
    </font>
    <font>
      <sz val="11"/>
      <color rgb="FFFF0000"/>
      <name val="Calibri"/>
      <family val="2"/>
      <scheme val="minor"/>
    </font>
    <font>
      <sz val="12"/>
      <color theme="1"/>
      <name val="Times New Roman"/>
      <family val="1"/>
    </font>
    <font>
      <sz val="8"/>
      <color theme="1"/>
      <name val="Times New Roman"/>
      <family val="1"/>
    </font>
    <font>
      <b/>
      <sz val="11"/>
      <color theme="1"/>
      <name val="Times New Roman"/>
      <family val="1"/>
    </font>
    <font>
      <b/>
      <sz val="10"/>
      <color theme="1"/>
      <name val="Times New Roman"/>
      <family val="1"/>
    </font>
    <font>
      <b/>
      <sz val="12"/>
      <color theme="1"/>
      <name val="Times New Roman"/>
      <family val="1"/>
    </font>
    <font>
      <sz val="11"/>
      <color theme="1"/>
      <name val="Times New Roman"/>
      <family val="1"/>
    </font>
    <font>
      <sz val="10"/>
      <color theme="1"/>
      <name val="Times New Roman"/>
      <family val="1"/>
    </font>
    <font>
      <i/>
      <sz val="11"/>
      <color theme="1"/>
      <name val="Times New Roman"/>
      <family val="1"/>
    </font>
    <font>
      <i/>
      <sz val="12"/>
      <color theme="1"/>
      <name val="Times New Roman"/>
      <family val="1"/>
    </font>
    <font>
      <i/>
      <sz val="12"/>
      <color theme="1"/>
      <name val="Arial"/>
      <family val="2"/>
    </font>
    <font>
      <sz val="12"/>
      <color theme="1"/>
      <name val=".VnTime"/>
      <family val="2"/>
    </font>
    <font>
      <b/>
      <i/>
      <sz val="12"/>
      <color theme="1"/>
      <name val="Times New Roman"/>
      <family val="1"/>
    </font>
    <font>
      <sz val="11"/>
      <name val="Calibri"/>
      <family val="2"/>
      <scheme val="minor"/>
    </font>
    <font>
      <b/>
      <i/>
      <sz val="11"/>
      <color theme="1"/>
      <name val="Calibri"/>
      <family val="2"/>
      <scheme val="minor"/>
    </font>
    <font>
      <b/>
      <sz val="11"/>
      <name val="Calibri"/>
      <family val="2"/>
      <scheme val="minor"/>
    </font>
    <font>
      <sz val="11"/>
      <color rgb="FF0000FF"/>
      <name val="Calibri"/>
      <family val="2"/>
      <scheme val="minor"/>
    </font>
    <font>
      <sz val="11"/>
      <name val="Calibri"/>
      <family val="2"/>
      <charset val="163"/>
      <scheme val="minor"/>
    </font>
    <font>
      <i/>
      <sz val="11"/>
      <color rgb="FF0000FF"/>
      <name val="Calibri"/>
      <family val="2"/>
      <scheme val="minor"/>
    </font>
    <font>
      <i/>
      <sz val="11"/>
      <name val="Calibri"/>
      <family val="2"/>
      <scheme val="minor"/>
    </font>
    <font>
      <sz val="12"/>
      <color rgb="FF000000"/>
      <name val="Times New Roman"/>
      <family val="1"/>
    </font>
    <font>
      <sz val="12"/>
      <name val="Calibri"/>
      <family val="2"/>
      <scheme val="minor"/>
    </font>
    <font>
      <b/>
      <sz val="10.5"/>
      <color theme="1"/>
      <name val="Times New Roman"/>
      <family val="1"/>
    </font>
    <font>
      <sz val="10.5"/>
      <color theme="1"/>
      <name val="Times New Roman"/>
      <family val="1"/>
    </font>
    <font>
      <b/>
      <sz val="10.5"/>
      <color rgb="FF000000"/>
      <name val="Times New Roman"/>
      <family val="1"/>
    </font>
    <font>
      <b/>
      <sz val="10"/>
      <color rgb="FF000000"/>
      <name val="Times New Roman"/>
      <family val="1"/>
    </font>
    <font>
      <b/>
      <sz val="9"/>
      <color theme="1"/>
      <name val="Times New Roman"/>
      <family val="1"/>
    </font>
    <font>
      <b/>
      <i/>
      <sz val="10"/>
      <color theme="1"/>
      <name val="Times New Roman"/>
      <family val="1"/>
    </font>
    <font>
      <sz val="10"/>
      <color rgb="FF000000"/>
      <name val="Times New Roman"/>
      <family val="1"/>
    </font>
    <font>
      <b/>
      <i/>
      <sz val="10"/>
      <color rgb="FF000000"/>
      <name val="Times New Roman"/>
      <family val="1"/>
    </font>
    <font>
      <b/>
      <i/>
      <sz val="10.5"/>
      <color theme="1"/>
      <name val="Times New Roman"/>
      <family val="1"/>
    </font>
    <font>
      <b/>
      <sz val="10.5"/>
      <color theme="1"/>
      <name val="Times New Roman"/>
      <family val="1"/>
      <charset val="163"/>
    </font>
    <font>
      <sz val="13"/>
      <color theme="1"/>
      <name val="Times New Roman"/>
      <family val="1"/>
    </font>
    <font>
      <b/>
      <sz val="13"/>
      <color theme="1"/>
      <name val="Times New Roman"/>
      <family val="1"/>
    </font>
    <font>
      <sz val="11"/>
      <color rgb="FFFF0000"/>
      <name val="Times New Roman"/>
      <family val="1"/>
    </font>
    <font>
      <sz val="10"/>
      <color theme="1"/>
      <name val="Calibri"/>
      <family val="2"/>
      <scheme val="minor"/>
    </font>
    <font>
      <i/>
      <sz val="10"/>
      <color rgb="FF000000"/>
      <name val="Times New Roman"/>
      <family val="1"/>
    </font>
    <font>
      <sz val="10"/>
      <color rgb="FF000000"/>
      <name val="Calibri"/>
      <family val="2"/>
    </font>
    <font>
      <i/>
      <sz val="10"/>
      <color theme="1"/>
      <name val="Times New Roman"/>
      <family val="1"/>
    </font>
    <font>
      <b/>
      <i/>
      <sz val="10"/>
      <color rgb="FF0000FF"/>
      <name val="Times New Roman"/>
      <family val="1"/>
    </font>
    <font>
      <sz val="10"/>
      <color rgb="FF0000FF"/>
      <name val="Times New Roman"/>
      <family val="1"/>
    </font>
    <font>
      <sz val="10"/>
      <color rgb="FF0000FF"/>
      <name val="Calibri"/>
      <family val="2"/>
      <scheme val="minor"/>
    </font>
    <font>
      <b/>
      <i/>
      <sz val="10"/>
      <color rgb="FF0000FF"/>
      <name val="Calibri"/>
      <family val="2"/>
      <scheme val="minor"/>
    </font>
    <font>
      <b/>
      <sz val="12"/>
      <name val="Calibri"/>
      <family val="2"/>
      <scheme val="minor"/>
    </font>
    <font>
      <i/>
      <sz val="10.5"/>
      <color theme="1"/>
      <name val="Times New Roman"/>
      <family val="1"/>
    </font>
    <font>
      <b/>
      <sz val="12"/>
      <color rgb="FF000000"/>
      <name val="Times New Roman"/>
      <family val="1"/>
    </font>
    <font>
      <sz val="12"/>
      <color theme="1"/>
      <name val="Calibri"/>
      <family val="2"/>
      <scheme val="minor"/>
    </font>
    <font>
      <b/>
      <sz val="11"/>
      <color rgb="FF000000"/>
      <name val="Times New Roman"/>
      <family val="1"/>
    </font>
    <font>
      <b/>
      <sz val="10"/>
      <color indexed="81"/>
      <name val="Tahoma"/>
      <charset val="1"/>
    </font>
    <font>
      <b/>
      <sz val="10"/>
      <color rgb="FF0000FF"/>
      <name val="Times New Roman"/>
      <family val="1"/>
    </font>
    <font>
      <sz val="11"/>
      <color rgb="FF0000FF"/>
      <name val="Times New Roman"/>
      <family val="1"/>
    </font>
    <font>
      <b/>
      <i/>
      <sz val="11"/>
      <color rgb="FF0000FF"/>
      <name val="Times New Roman"/>
      <family val="1"/>
    </font>
    <font>
      <sz val="12"/>
      <color rgb="FF0000FF"/>
      <name val="Times New Roman"/>
      <family val="1"/>
    </font>
  </fonts>
  <fills count="7">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7" tint="0.59999389629810485"/>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7">
    <xf numFmtId="0" fontId="0" fillId="0" borderId="0"/>
    <xf numFmtId="43" fontId="27" fillId="0" borderId="0" applyFont="0" applyFill="0" applyBorder="0" applyAlignment="0" applyProtection="0"/>
    <xf numFmtId="43" fontId="8" fillId="0" borderId="0" applyFont="0" applyFill="0" applyBorder="0" applyAlignment="0" applyProtection="0"/>
    <xf numFmtId="43" fontId="1" fillId="0" borderId="0" applyFont="0" applyFill="0" applyBorder="0" applyAlignment="0" applyProtection="0"/>
    <xf numFmtId="0" fontId="4" fillId="0" borderId="0"/>
    <xf numFmtId="0" fontId="7" fillId="0" borderId="0"/>
    <xf numFmtId="0" fontId="27" fillId="0" borderId="0"/>
  </cellStyleXfs>
  <cellXfs count="522">
    <xf numFmtId="0" fontId="0" fillId="0" borderId="0" xfId="0"/>
    <xf numFmtId="0" fontId="0" fillId="0" borderId="1" xfId="0" applyBorder="1"/>
    <xf numFmtId="0" fontId="3" fillId="0" borderId="1" xfId="0" applyFont="1" applyBorder="1" applyAlignment="1">
      <alignment horizontal="center" vertical="center" wrapText="1"/>
    </xf>
    <xf numFmtId="0" fontId="28" fillId="0" borderId="0" xfId="0" applyFont="1"/>
    <xf numFmtId="164" fontId="29" fillId="2" borderId="0" xfId="1" applyNumberFormat="1" applyFont="1" applyFill="1"/>
    <xf numFmtId="0" fontId="3" fillId="3" borderId="1" xfId="0" applyFont="1" applyFill="1" applyBorder="1" applyAlignment="1">
      <alignment horizontal="center" vertical="center" wrapText="1"/>
    </xf>
    <xf numFmtId="0" fontId="3" fillId="3" borderId="0" xfId="0" applyFont="1" applyFill="1" applyAlignment="1">
      <alignment horizontal="center" vertical="center" wrapText="1"/>
    </xf>
    <xf numFmtId="0" fontId="5" fillId="3" borderId="0" xfId="0" applyFont="1" applyFill="1" applyAlignment="1">
      <alignment horizontal="right" vertical="center" wrapText="1"/>
    </xf>
    <xf numFmtId="0" fontId="2" fillId="3" borderId="0" xfId="0" applyFont="1" applyFill="1" applyAlignment="1">
      <alignment horizontal="right" vertical="center" wrapText="1"/>
    </xf>
    <xf numFmtId="0" fontId="30" fillId="0" borderId="1" xfId="0" applyFont="1" applyBorder="1" applyAlignment="1">
      <alignment horizontal="center" vertical="center" wrapText="1"/>
    </xf>
    <xf numFmtId="164" fontId="2" fillId="3" borderId="0" xfId="1" applyNumberFormat="1" applyFont="1" applyFill="1" applyBorder="1" applyAlignment="1">
      <alignment horizontal="right" vertical="center" wrapText="1"/>
    </xf>
    <xf numFmtId="0" fontId="31" fillId="0" borderId="1" xfId="0" applyFont="1" applyBorder="1" applyAlignment="1">
      <alignment horizontal="center" vertical="center" wrapText="1"/>
    </xf>
    <xf numFmtId="164" fontId="3" fillId="3" borderId="1" xfId="1" applyNumberFormat="1" applyFont="1" applyFill="1" applyBorder="1" applyAlignment="1">
      <alignment vertical="center" wrapText="1"/>
    </xf>
    <xf numFmtId="0" fontId="32" fillId="0" borderId="1" xfId="0" applyFont="1" applyBorder="1" applyAlignment="1">
      <alignment horizontal="center" vertical="center"/>
    </xf>
    <xf numFmtId="0" fontId="32" fillId="0" borderId="1" xfId="0" applyFont="1" applyBorder="1" applyAlignment="1">
      <alignment vertical="center"/>
    </xf>
    <xf numFmtId="0" fontId="33" fillId="0" borderId="1" xfId="0" applyFont="1" applyBorder="1" applyAlignment="1">
      <alignment vertical="center"/>
    </xf>
    <xf numFmtId="0" fontId="34" fillId="0" borderId="1" xfId="0" applyFont="1" applyBorder="1" applyAlignment="1">
      <alignment vertical="center" wrapText="1"/>
    </xf>
    <xf numFmtId="0" fontId="3" fillId="3" borderId="0" xfId="0" applyFont="1" applyFill="1" applyAlignment="1">
      <alignment horizontal="right" vertical="center" wrapText="1"/>
    </xf>
    <xf numFmtId="0" fontId="35" fillId="0" borderId="1" xfId="0" applyFont="1" applyBorder="1" applyAlignment="1">
      <alignment horizontal="center" vertical="center"/>
    </xf>
    <xf numFmtId="0" fontId="35" fillId="0" borderId="1" xfId="0" applyFont="1" applyBorder="1" applyAlignment="1">
      <alignment vertical="center"/>
    </xf>
    <xf numFmtId="3" fontId="35" fillId="0" borderId="1" xfId="0" applyNumberFormat="1" applyFont="1" applyBorder="1" applyAlignment="1">
      <alignment horizontal="center" vertical="center"/>
    </xf>
    <xf numFmtId="0" fontId="36" fillId="0" borderId="1" xfId="0" applyFont="1" applyBorder="1" applyAlignment="1">
      <alignment vertical="center"/>
    </xf>
    <xf numFmtId="0" fontId="35" fillId="3" borderId="0" xfId="0" applyFont="1" applyFill="1" applyAlignment="1">
      <alignment horizontal="center" vertical="center" wrapText="1"/>
    </xf>
    <xf numFmtId="0" fontId="37" fillId="3" borderId="0" xfId="0" applyFont="1" applyFill="1" applyAlignment="1">
      <alignment horizontal="right" vertical="center" wrapText="1"/>
    </xf>
    <xf numFmtId="0" fontId="38" fillId="3" borderId="0" xfId="0" applyFont="1" applyFill="1" applyAlignment="1">
      <alignment horizontal="center" vertical="center"/>
    </xf>
    <xf numFmtId="0" fontId="39" fillId="3" borderId="0" xfId="0" applyFont="1" applyFill="1" applyAlignment="1">
      <alignment horizontal="right" vertical="center"/>
    </xf>
    <xf numFmtId="0" fontId="30" fillId="3" borderId="0" xfId="0" applyFont="1" applyFill="1" applyAlignment="1">
      <alignment horizontal="center" vertical="center"/>
    </xf>
    <xf numFmtId="0" fontId="40" fillId="3" borderId="0" xfId="0" applyFont="1" applyFill="1" applyAlignment="1">
      <alignment horizontal="right" vertical="center"/>
    </xf>
    <xf numFmtId="0" fontId="30" fillId="3" borderId="0" xfId="0" applyFont="1" applyFill="1" applyAlignment="1">
      <alignment horizontal="right" vertical="center" wrapText="1"/>
    </xf>
    <xf numFmtId="164" fontId="30" fillId="3" borderId="0" xfId="1" applyNumberFormat="1" applyFont="1" applyFill="1" applyBorder="1" applyAlignment="1">
      <alignment horizontal="right" vertical="center" wrapText="1"/>
    </xf>
    <xf numFmtId="0" fontId="30" fillId="3" borderId="0" xfId="0" applyFont="1" applyFill="1" applyAlignment="1">
      <alignment vertical="center" wrapText="1"/>
    </xf>
    <xf numFmtId="0" fontId="41" fillId="3" borderId="0" xfId="0" applyFont="1" applyFill="1" applyAlignment="1">
      <alignment vertical="center" wrapText="1"/>
    </xf>
    <xf numFmtId="0" fontId="35" fillId="3" borderId="0" xfId="0" applyFont="1" applyFill="1" applyAlignment="1">
      <alignment vertical="center" wrapText="1"/>
    </xf>
    <xf numFmtId="164" fontId="35" fillId="3" borderId="0" xfId="1" applyNumberFormat="1" applyFont="1" applyFill="1" applyBorder="1" applyAlignment="1">
      <alignment horizontal="right" vertical="center" wrapText="1"/>
    </xf>
    <xf numFmtId="167" fontId="35" fillId="0" borderId="1" xfId="0" applyNumberFormat="1" applyFont="1" applyBorder="1" applyAlignment="1">
      <alignment horizontal="center" vertical="center"/>
    </xf>
    <xf numFmtId="164" fontId="39" fillId="3" borderId="0" xfId="1" applyNumberFormat="1" applyFont="1" applyFill="1" applyBorder="1" applyAlignment="1">
      <alignment horizontal="right" vertical="center"/>
    </xf>
    <xf numFmtId="0" fontId="6" fillId="3" borderId="0" xfId="0" applyFont="1" applyFill="1" applyAlignment="1">
      <alignment horizontal="center" vertical="center"/>
    </xf>
    <xf numFmtId="164" fontId="7" fillId="3" borderId="0" xfId="1" applyNumberFormat="1" applyFont="1" applyFill="1" applyBorder="1" applyAlignment="1">
      <alignment horizontal="right" vertical="center"/>
    </xf>
    <xf numFmtId="164" fontId="6" fillId="3" borderId="0" xfId="1" applyNumberFormat="1" applyFont="1" applyFill="1" applyBorder="1" applyAlignment="1">
      <alignment horizontal="right" vertical="center" wrapText="1"/>
    </xf>
    <xf numFmtId="0" fontId="30" fillId="3" borderId="0" xfId="0" applyFont="1" applyFill="1" applyAlignment="1">
      <alignment horizontal="center" vertical="center" wrapText="1"/>
    </xf>
    <xf numFmtId="0" fontId="6" fillId="3" borderId="0" xfId="0" applyFont="1" applyFill="1" applyAlignment="1">
      <alignment vertical="center" wrapText="1"/>
    </xf>
    <xf numFmtId="0" fontId="6" fillId="3" borderId="0" xfId="0" applyFont="1" applyFill="1" applyAlignment="1">
      <alignment horizontal="center" vertical="center" wrapText="1"/>
    </xf>
    <xf numFmtId="0" fontId="10" fillId="3" borderId="0" xfId="0" applyFont="1" applyFill="1" applyAlignment="1">
      <alignment vertical="center" wrapText="1"/>
    </xf>
    <xf numFmtId="0" fontId="11" fillId="3" borderId="0" xfId="0" applyFont="1" applyFill="1" applyAlignment="1">
      <alignment horizontal="center" vertical="center"/>
    </xf>
    <xf numFmtId="164" fontId="12" fillId="3" borderId="0" xfId="1" applyNumberFormat="1" applyFont="1" applyFill="1" applyBorder="1" applyAlignment="1">
      <alignment horizontal="right" vertical="center"/>
    </xf>
    <xf numFmtId="0" fontId="16" fillId="0" borderId="0" xfId="0" applyFont="1" applyAlignment="1">
      <alignment horizontal="justify" vertical="center"/>
    </xf>
    <xf numFmtId="0" fontId="9" fillId="3" borderId="0" xfId="0" applyFont="1" applyFill="1" applyAlignment="1">
      <alignment vertical="center" wrapText="1"/>
    </xf>
    <xf numFmtId="164" fontId="2" fillId="3" borderId="0" xfId="0" applyNumberFormat="1" applyFont="1" applyFill="1" applyAlignment="1">
      <alignment horizontal="right" vertical="center" wrapText="1"/>
    </xf>
    <xf numFmtId="0" fontId="9" fillId="0" borderId="0" xfId="0" applyFont="1" applyAlignment="1">
      <alignment vertical="center" wrapText="1"/>
    </xf>
    <xf numFmtId="0" fontId="3" fillId="0" borderId="0" xfId="0" applyFont="1" applyAlignment="1">
      <alignment horizontal="center" vertical="center" wrapText="1"/>
    </xf>
    <xf numFmtId="164" fontId="13" fillId="0" borderId="0" xfId="1" applyNumberFormat="1" applyFont="1" applyFill="1" applyBorder="1" applyAlignment="1">
      <alignment horizontal="right" vertical="center" wrapText="1"/>
    </xf>
    <xf numFmtId="0" fontId="30" fillId="3" borderId="1" xfId="0" applyFont="1" applyFill="1" applyBorder="1" applyAlignment="1">
      <alignment vertical="center" wrapText="1"/>
    </xf>
    <xf numFmtId="3" fontId="3" fillId="3" borderId="1" xfId="0" applyNumberFormat="1" applyFont="1" applyFill="1" applyBorder="1" applyAlignment="1">
      <alignment horizontal="center" vertical="center" wrapText="1"/>
    </xf>
    <xf numFmtId="3" fontId="30" fillId="3" borderId="1" xfId="0" applyNumberFormat="1" applyFont="1" applyFill="1" applyBorder="1" applyAlignment="1">
      <alignment vertical="center" wrapText="1"/>
    </xf>
    <xf numFmtId="164" fontId="27" fillId="0" borderId="0" xfId="1" applyNumberFormat="1" applyFont="1"/>
    <xf numFmtId="0" fontId="28" fillId="0" borderId="0" xfId="0" applyFont="1" applyAlignment="1">
      <alignment horizontal="center"/>
    </xf>
    <xf numFmtId="0" fontId="42" fillId="0" borderId="0" xfId="0" applyFont="1" applyAlignment="1">
      <alignment vertical="center"/>
    </xf>
    <xf numFmtId="0" fontId="43" fillId="0" borderId="0" xfId="0" applyFont="1"/>
    <xf numFmtId="0" fontId="19" fillId="4" borderId="1" xfId="0" applyFont="1" applyFill="1" applyBorder="1" applyAlignment="1">
      <alignment horizontal="center" vertical="center" wrapText="1"/>
    </xf>
    <xf numFmtId="0" fontId="18" fillId="4" borderId="1" xfId="0" applyFont="1" applyFill="1" applyBorder="1" applyAlignment="1">
      <alignment vertical="center" wrapText="1"/>
    </xf>
    <xf numFmtId="164" fontId="18" fillId="4" borderId="1" xfId="1" applyNumberFormat="1" applyFont="1" applyFill="1" applyBorder="1" applyAlignment="1">
      <alignment vertical="center" wrapText="1"/>
    </xf>
    <xf numFmtId="0" fontId="19" fillId="4" borderId="1" xfId="0" applyFont="1" applyFill="1" applyBorder="1" applyAlignment="1">
      <alignment horizontal="right" vertical="center" wrapText="1"/>
    </xf>
    <xf numFmtId="0" fontId="20" fillId="4" borderId="1" xfId="0" applyFont="1" applyFill="1" applyBorder="1" applyAlignment="1">
      <alignment horizontal="center" vertical="center" wrapText="1"/>
    </xf>
    <xf numFmtId="0" fontId="20" fillId="4" borderId="1" xfId="0" applyFont="1" applyFill="1" applyBorder="1" applyAlignment="1">
      <alignment vertical="center" wrapText="1"/>
    </xf>
    <xf numFmtId="164" fontId="20" fillId="4" borderId="1" xfId="1" applyNumberFormat="1" applyFont="1" applyFill="1" applyBorder="1" applyAlignment="1">
      <alignment vertical="center" wrapText="1"/>
    </xf>
    <xf numFmtId="0" fontId="20" fillId="4" borderId="1" xfId="0" applyFont="1" applyFill="1" applyBorder="1" applyAlignment="1">
      <alignment horizontal="right" vertical="center" wrapText="1"/>
    </xf>
    <xf numFmtId="0" fontId="10" fillId="4" borderId="0" xfId="0" applyFont="1" applyFill="1" applyAlignment="1">
      <alignment vertical="center" wrapText="1"/>
    </xf>
    <xf numFmtId="0" fontId="19" fillId="4" borderId="1" xfId="0" applyFont="1" applyFill="1" applyBorder="1" applyAlignment="1">
      <alignment vertical="center" wrapText="1"/>
    </xf>
    <xf numFmtId="164" fontId="19" fillId="4" borderId="1" xfId="1" applyNumberFormat="1" applyFont="1" applyFill="1" applyBorder="1" applyAlignment="1">
      <alignment vertical="center" wrapText="1"/>
    </xf>
    <xf numFmtId="164" fontId="19" fillId="4" borderId="1" xfId="1" applyNumberFormat="1" applyFont="1" applyFill="1" applyBorder="1" applyAlignment="1">
      <alignment horizontal="right" vertical="center" wrapText="1"/>
    </xf>
    <xf numFmtId="164" fontId="19" fillId="4" borderId="1" xfId="1" applyNumberFormat="1" applyFont="1" applyFill="1" applyBorder="1" applyAlignment="1">
      <alignment horizontal="center" vertical="center" wrapText="1"/>
    </xf>
    <xf numFmtId="0" fontId="42" fillId="4" borderId="0" xfId="0" applyFont="1" applyFill="1" applyAlignment="1">
      <alignment vertical="center"/>
    </xf>
    <xf numFmtId="0" fontId="42" fillId="4" borderId="0" xfId="0" applyFont="1" applyFill="1" applyAlignment="1">
      <alignment horizontal="center" vertical="center"/>
    </xf>
    <xf numFmtId="164" fontId="44" fillId="4" borderId="3" xfId="0" applyNumberFormat="1" applyFont="1" applyFill="1" applyBorder="1" applyAlignment="1">
      <alignment vertical="center"/>
    </xf>
    <xf numFmtId="0" fontId="2" fillId="4" borderId="4" xfId="0" applyFont="1" applyFill="1" applyBorder="1" applyAlignment="1">
      <alignment horizontal="center" vertical="center" wrapText="1"/>
    </xf>
    <xf numFmtId="164" fontId="2" fillId="4" borderId="1" xfId="0" applyNumberFormat="1" applyFont="1" applyFill="1" applyBorder="1" applyAlignment="1">
      <alignment horizontal="center" vertical="center" wrapText="1"/>
    </xf>
    <xf numFmtId="0" fontId="3" fillId="4" borderId="1" xfId="0" applyFont="1" applyFill="1" applyBorder="1" applyAlignment="1">
      <alignment vertical="center" wrapText="1"/>
    </xf>
    <xf numFmtId="0" fontId="42" fillId="4" borderId="1" xfId="0" applyFont="1" applyFill="1" applyBorder="1" applyAlignment="1">
      <alignment vertical="center"/>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164" fontId="3" fillId="4" borderId="1" xfId="1" applyNumberFormat="1" applyFont="1" applyFill="1" applyBorder="1" applyAlignment="1">
      <alignment horizontal="right" vertical="center" wrapText="1"/>
    </xf>
    <xf numFmtId="0" fontId="45" fillId="4" borderId="1" xfId="0" applyFont="1" applyFill="1" applyBorder="1" applyAlignment="1">
      <alignment vertical="center"/>
    </xf>
    <xf numFmtId="0" fontId="5" fillId="4" borderId="1" xfId="0" applyFont="1" applyFill="1" applyBorder="1" applyAlignment="1">
      <alignment horizontal="center" vertical="center"/>
    </xf>
    <xf numFmtId="0" fontId="3" fillId="4" borderId="1" xfId="0" applyFont="1" applyFill="1" applyBorder="1" applyAlignment="1">
      <alignment horizontal="center" vertical="center" wrapText="1"/>
    </xf>
    <xf numFmtId="164" fontId="3" fillId="4" borderId="1" xfId="0" applyNumberFormat="1" applyFont="1" applyFill="1" applyBorder="1" applyAlignment="1">
      <alignment horizontal="right" vertical="center" wrapText="1"/>
    </xf>
    <xf numFmtId="0" fontId="29" fillId="4" borderId="0" xfId="0" applyFont="1" applyFill="1" applyAlignment="1">
      <alignment vertical="center"/>
    </xf>
    <xf numFmtId="164" fontId="3" fillId="4" borderId="1" xfId="1" applyNumberFormat="1" applyFont="1" applyFill="1" applyBorder="1" applyAlignment="1">
      <alignment horizontal="right" vertical="center"/>
    </xf>
    <xf numFmtId="164" fontId="2" fillId="4" borderId="1" xfId="1" applyNumberFormat="1" applyFont="1" applyFill="1" applyBorder="1" applyAlignment="1">
      <alignment horizontal="right" vertical="center" wrapText="1"/>
    </xf>
    <xf numFmtId="164" fontId="3" fillId="4" borderId="1" xfId="1" applyNumberFormat="1" applyFont="1" applyFill="1" applyBorder="1" applyAlignment="1">
      <alignment vertical="center"/>
    </xf>
    <xf numFmtId="0" fontId="46" fillId="4" borderId="0" xfId="0" applyFont="1" applyFill="1" applyAlignment="1">
      <alignment vertical="center"/>
    </xf>
    <xf numFmtId="0" fontId="5" fillId="4" borderId="1" xfId="0" applyFont="1" applyFill="1" applyBorder="1" applyAlignment="1">
      <alignment vertical="center" wrapText="1"/>
    </xf>
    <xf numFmtId="0" fontId="13" fillId="4" borderId="1" xfId="0" applyFont="1" applyFill="1" applyBorder="1" applyAlignment="1">
      <alignment horizontal="center" vertical="center"/>
    </xf>
    <xf numFmtId="164" fontId="5" fillId="4" borderId="1" xfId="0" applyNumberFormat="1" applyFont="1" applyFill="1" applyBorder="1" applyAlignment="1">
      <alignment horizontal="right" vertical="center" wrapText="1"/>
    </xf>
    <xf numFmtId="0" fontId="47" fillId="4" borderId="1" xfId="0" applyFont="1" applyFill="1" applyBorder="1" applyAlignment="1">
      <alignment vertical="center"/>
    </xf>
    <xf numFmtId="0" fontId="48" fillId="4" borderId="0" xfId="0" applyFont="1" applyFill="1" applyAlignment="1">
      <alignment vertical="center"/>
    </xf>
    <xf numFmtId="0" fontId="3" fillId="4" borderId="1" xfId="5" applyFont="1" applyFill="1" applyBorder="1" applyAlignment="1">
      <alignment horizontal="justify" vertical="center" wrapText="1"/>
    </xf>
    <xf numFmtId="0" fontId="3" fillId="4" borderId="1" xfId="5" applyFont="1" applyFill="1" applyBorder="1" applyAlignment="1">
      <alignment horizontal="center" vertical="center"/>
    </xf>
    <xf numFmtId="49" fontId="5" fillId="4" borderId="1" xfId="5" applyNumberFormat="1" applyFont="1" applyFill="1" applyBorder="1" applyAlignment="1">
      <alignment horizontal="justify" vertical="center" wrapText="1"/>
    </xf>
    <xf numFmtId="164" fontId="5" fillId="4" borderId="1" xfId="1" applyNumberFormat="1" applyFont="1" applyFill="1" applyBorder="1" applyAlignment="1">
      <alignment horizontal="right" vertical="center"/>
    </xf>
    <xf numFmtId="0" fontId="5" fillId="4" borderId="1" xfId="0" applyFont="1" applyFill="1" applyBorder="1" applyAlignment="1">
      <alignment vertical="center"/>
    </xf>
    <xf numFmtId="165" fontId="5" fillId="4" borderId="1" xfId="3" applyNumberFormat="1" applyFont="1" applyFill="1" applyBorder="1" applyAlignment="1">
      <alignment horizontal="right" vertical="center" wrapText="1"/>
    </xf>
    <xf numFmtId="49" fontId="3" fillId="4" borderId="1" xfId="5" applyNumberFormat="1" applyFont="1" applyFill="1" applyBorder="1" applyAlignment="1">
      <alignment horizontal="justify" vertical="center" wrapText="1"/>
    </xf>
    <xf numFmtId="0" fontId="5" fillId="4" borderId="1" xfId="5" applyFont="1" applyFill="1" applyBorder="1" applyAlignment="1">
      <alignment horizontal="justify" vertical="center" wrapText="1"/>
    </xf>
    <xf numFmtId="0" fontId="5" fillId="4" borderId="1" xfId="5" applyFont="1" applyFill="1" applyBorder="1" applyAlignment="1">
      <alignment vertical="center"/>
    </xf>
    <xf numFmtId="0" fontId="3" fillId="4" borderId="1" xfId="5" applyFont="1" applyFill="1" applyBorder="1" applyAlignment="1">
      <alignment horizontal="center" vertical="center" wrapText="1"/>
    </xf>
    <xf numFmtId="0" fontId="9" fillId="4" borderId="0" xfId="0" applyFont="1" applyFill="1" applyAlignment="1">
      <alignment vertical="center" wrapText="1"/>
    </xf>
    <xf numFmtId="0" fontId="11" fillId="4" borderId="0" xfId="0" applyFont="1" applyFill="1" applyAlignment="1">
      <alignment horizontal="right" vertical="center"/>
    </xf>
    <xf numFmtId="0" fontId="6" fillId="4" borderId="2" xfId="0" applyFont="1" applyFill="1" applyBorder="1" applyAlignment="1">
      <alignment vertical="center" wrapText="1"/>
    </xf>
    <xf numFmtId="0" fontId="11" fillId="4" borderId="2" xfId="0" applyFont="1" applyFill="1" applyBorder="1" applyAlignment="1">
      <alignment vertical="center" wrapText="1"/>
    </xf>
    <xf numFmtId="164" fontId="3" fillId="4" borderId="1" xfId="0" applyNumberFormat="1" applyFont="1" applyFill="1" applyBorder="1" applyAlignment="1">
      <alignment vertical="center" wrapText="1"/>
    </xf>
    <xf numFmtId="0" fontId="19" fillId="0" borderId="0" xfId="0" applyFont="1"/>
    <xf numFmtId="0" fontId="2" fillId="4" borderId="1" xfId="0" applyFont="1" applyFill="1" applyBorder="1" applyAlignment="1">
      <alignment vertical="center" wrapText="1"/>
    </xf>
    <xf numFmtId="0" fontId="19" fillId="0" borderId="0" xfId="0" applyFont="1" applyAlignment="1">
      <alignment horizontal="left" vertical="center" wrapText="1"/>
    </xf>
    <xf numFmtId="0" fontId="34" fillId="0" borderId="1" xfId="0" applyFont="1" applyBorder="1" applyAlignment="1">
      <alignment horizontal="center" vertical="center" wrapText="1"/>
    </xf>
    <xf numFmtId="3" fontId="35" fillId="3" borderId="0" xfId="0" applyNumberFormat="1" applyFont="1" applyFill="1" applyAlignment="1">
      <alignment vertical="center" wrapText="1"/>
    </xf>
    <xf numFmtId="3" fontId="30" fillId="3" borderId="0" xfId="0" applyNumberFormat="1" applyFont="1" applyFill="1" applyAlignment="1">
      <alignment vertical="center" wrapText="1"/>
    </xf>
    <xf numFmtId="164" fontId="20" fillId="4" borderId="1" xfId="1" applyNumberFormat="1" applyFont="1" applyFill="1" applyBorder="1" applyAlignment="1">
      <alignment horizontal="right" vertical="center" wrapText="1"/>
    </xf>
    <xf numFmtId="0" fontId="18" fillId="4" borderId="1" xfId="0" applyFont="1" applyFill="1" applyBorder="1" applyAlignment="1">
      <alignment horizontal="justify" vertical="center" wrapText="1"/>
    </xf>
    <xf numFmtId="0" fontId="19" fillId="4" borderId="1" xfId="0" applyFont="1" applyFill="1" applyBorder="1" applyAlignment="1">
      <alignment horizontal="justify" vertical="center" wrapText="1"/>
    </xf>
    <xf numFmtId="0" fontId="49" fillId="0" borderId="1" xfId="0" applyFont="1" applyBorder="1" applyAlignment="1">
      <alignment horizontal="right" vertical="center"/>
    </xf>
    <xf numFmtId="164" fontId="27" fillId="0" borderId="1" xfId="1" applyNumberFormat="1" applyFont="1" applyBorder="1"/>
    <xf numFmtId="0" fontId="2" fillId="0" borderId="1" xfId="0" applyFont="1" applyBorder="1" applyAlignment="1">
      <alignment horizontal="center" vertical="center" wrapText="1"/>
    </xf>
    <xf numFmtId="0" fontId="2" fillId="0" borderId="1" xfId="0" applyFont="1" applyBorder="1" applyAlignment="1">
      <alignment vertical="center" wrapText="1"/>
    </xf>
    <xf numFmtId="164" fontId="2" fillId="0" borderId="1" xfId="0" applyNumberFormat="1" applyFont="1" applyBorder="1" applyAlignment="1">
      <alignment vertical="center" wrapText="1"/>
    </xf>
    <xf numFmtId="164" fontId="2" fillId="0" borderId="1" xfId="1" applyNumberFormat="1" applyFont="1" applyFill="1" applyBorder="1" applyAlignment="1">
      <alignment vertical="center" wrapText="1"/>
    </xf>
    <xf numFmtId="164" fontId="5" fillId="0" borderId="1" xfId="1" applyNumberFormat="1"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3" fillId="0" borderId="1" xfId="0" applyFont="1" applyBorder="1" applyAlignment="1">
      <alignment vertical="center" wrapText="1"/>
    </xf>
    <xf numFmtId="3" fontId="3" fillId="0" borderId="1"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0" fontId="2" fillId="0" borderId="1" xfId="0" applyFont="1" applyBorder="1" applyAlignment="1">
      <alignment horizontal="center" vertical="center"/>
    </xf>
    <xf numFmtId="3" fontId="2" fillId="0" borderId="1" xfId="0" applyNumberFormat="1" applyFont="1" applyBorder="1" applyAlignment="1">
      <alignment horizontal="right" vertical="center" wrapText="1"/>
    </xf>
    <xf numFmtId="3" fontId="2" fillId="0" borderId="1" xfId="0" applyNumberFormat="1" applyFont="1" applyBorder="1" applyAlignment="1">
      <alignment horizontal="right" vertical="center"/>
    </xf>
    <xf numFmtId="164" fontId="2" fillId="4" borderId="1" xfId="0" applyNumberFormat="1" applyFont="1" applyFill="1" applyBorder="1" applyAlignment="1">
      <alignment horizontal="right" vertical="center" wrapText="1"/>
    </xf>
    <xf numFmtId="3" fontId="0" fillId="0" borderId="0" xfId="0" applyNumberFormat="1"/>
    <xf numFmtId="0" fontId="2" fillId="4" borderId="1" xfId="0" applyFont="1" applyFill="1" applyBorder="1" applyAlignment="1">
      <alignment horizontal="center" vertical="center" wrapText="1"/>
    </xf>
    <xf numFmtId="164" fontId="13" fillId="4" borderId="1" xfId="1" applyNumberFormat="1" applyFont="1" applyFill="1" applyBorder="1" applyAlignment="1">
      <alignment horizontal="right" vertical="center" wrapText="1"/>
    </xf>
    <xf numFmtId="3" fontId="2" fillId="0" borderId="0" xfId="0" applyNumberFormat="1" applyFont="1" applyAlignment="1">
      <alignment vertical="center"/>
    </xf>
    <xf numFmtId="0" fontId="21" fillId="0" borderId="3" xfId="0" applyFont="1" applyBorder="1"/>
    <xf numFmtId="0" fontId="21" fillId="0" borderId="3" xfId="0" applyFont="1" applyBorder="1" applyAlignment="1">
      <alignment horizontal="center"/>
    </xf>
    <xf numFmtId="3" fontId="2" fillId="0" borderId="5" xfId="0" applyNumberFormat="1" applyFont="1" applyBorder="1" applyAlignment="1">
      <alignment vertical="center"/>
    </xf>
    <xf numFmtId="0" fontId="50" fillId="0" borderId="0" xfId="0" applyFont="1" applyAlignment="1">
      <alignment vertical="center"/>
    </xf>
    <xf numFmtId="3" fontId="2" fillId="0" borderId="1" xfId="0" applyNumberFormat="1" applyFont="1" applyBorder="1" applyAlignment="1">
      <alignment horizontal="left" vertical="center"/>
    </xf>
    <xf numFmtId="43" fontId="42" fillId="4" borderId="0" xfId="0" applyNumberFormat="1" applyFont="1" applyFill="1" applyAlignment="1">
      <alignment vertical="center"/>
    </xf>
    <xf numFmtId="164" fontId="29" fillId="4" borderId="0" xfId="0" applyNumberFormat="1" applyFont="1" applyFill="1" applyAlignment="1">
      <alignment vertical="center"/>
    </xf>
    <xf numFmtId="0" fontId="35" fillId="0" borderId="1" xfId="0" applyFont="1" applyBorder="1" applyAlignment="1">
      <alignment horizontal="center" vertical="center" wrapText="1"/>
    </xf>
    <xf numFmtId="0" fontId="51" fillId="0" borderId="0" xfId="0" applyFont="1"/>
    <xf numFmtId="0" fontId="52" fillId="0" borderId="0" xfId="0" applyFont="1"/>
    <xf numFmtId="0" fontId="53" fillId="0" borderId="0" xfId="0" applyFont="1"/>
    <xf numFmtId="0" fontId="52" fillId="0" borderId="0" xfId="0" applyFont="1" applyAlignment="1">
      <alignment horizontal="center" vertical="center"/>
    </xf>
    <xf numFmtId="0" fontId="36" fillId="0" borderId="0" xfId="0" applyFont="1" applyAlignment="1">
      <alignment horizontal="center" vertical="center"/>
    </xf>
    <xf numFmtId="0" fontId="9" fillId="0" borderId="1" xfId="4" applyFont="1" applyBorder="1" applyAlignment="1">
      <alignment horizontal="center" vertical="center" wrapText="1"/>
    </xf>
    <xf numFmtId="0" fontId="52" fillId="0" borderId="0" xfId="0" applyFont="1" applyAlignment="1">
      <alignment vertical="center"/>
    </xf>
    <xf numFmtId="0" fontId="36" fillId="0" borderId="1" xfId="0" applyFont="1" applyBorder="1" applyAlignment="1">
      <alignment horizontal="center" vertical="center" wrapText="1"/>
    </xf>
    <xf numFmtId="0" fontId="52" fillId="0" borderId="0" xfId="0" applyFont="1" applyAlignment="1">
      <alignment horizontal="center" vertical="center" wrapText="1"/>
    </xf>
    <xf numFmtId="0" fontId="54"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55" fillId="0" borderId="1" xfId="0" applyFont="1" applyBorder="1" applyAlignment="1">
      <alignment horizontal="center" vertical="center" wrapText="1"/>
    </xf>
    <xf numFmtId="164" fontId="33" fillId="0" borderId="1" xfId="1" applyNumberFormat="1" applyFont="1" applyFill="1" applyBorder="1" applyAlignment="1">
      <alignment horizontal="center" vertical="center" wrapText="1"/>
    </xf>
    <xf numFmtId="0" fontId="54" fillId="0" borderId="1" xfId="0" applyFont="1" applyBorder="1" applyAlignment="1">
      <alignment vertical="center" wrapText="1"/>
    </xf>
    <xf numFmtId="164" fontId="33" fillId="0" borderId="1" xfId="0" applyNumberFormat="1" applyFont="1" applyBorder="1" applyAlignment="1">
      <alignment horizontal="center" vertical="center" wrapText="1"/>
    </xf>
    <xf numFmtId="0" fontId="51" fillId="0" borderId="1" xfId="6" applyFont="1" applyBorder="1" applyAlignment="1">
      <alignment vertical="center"/>
    </xf>
    <xf numFmtId="0" fontId="56" fillId="0" borderId="1" xfId="0" applyFont="1" applyBorder="1" applyAlignment="1">
      <alignment horizontal="center" vertical="center" wrapText="1"/>
    </xf>
    <xf numFmtId="0" fontId="56" fillId="0" borderId="1" xfId="0" applyFont="1" applyBorder="1" applyAlignment="1">
      <alignment vertical="center" wrapText="1"/>
    </xf>
    <xf numFmtId="0" fontId="36" fillId="0" borderId="1" xfId="0" applyFont="1" applyBorder="1" applyAlignment="1">
      <alignment vertical="center" wrapText="1"/>
    </xf>
    <xf numFmtId="164" fontId="56" fillId="0" borderId="1" xfId="0" applyNumberFormat="1" applyFont="1" applyBorder="1" applyAlignment="1">
      <alignment vertical="center" wrapText="1"/>
    </xf>
    <xf numFmtId="0" fontId="57" fillId="0" borderId="1" xfId="0" applyFont="1" applyBorder="1" applyAlignment="1">
      <alignment horizontal="center" vertical="center" wrapText="1"/>
    </xf>
    <xf numFmtId="0" fontId="19" fillId="0" borderId="1" xfId="0" quotePrefix="1" applyFont="1" applyBorder="1" applyAlignment="1">
      <alignment vertical="center" wrapText="1"/>
    </xf>
    <xf numFmtId="0" fontId="19" fillId="0" borderId="1" xfId="0" applyFont="1" applyBorder="1" applyAlignment="1">
      <alignment horizontal="center" vertical="center" wrapText="1"/>
    </xf>
    <xf numFmtId="0" fontId="19" fillId="0" borderId="1" xfId="0" quotePrefix="1" applyFont="1" applyBorder="1" applyAlignment="1">
      <alignment horizontal="center" vertical="center" wrapText="1"/>
    </xf>
    <xf numFmtId="164" fontId="19" fillId="0" borderId="1" xfId="1" applyNumberFormat="1" applyFont="1" applyFill="1" applyBorder="1" applyAlignment="1">
      <alignment horizontal="center" vertical="center" wrapText="1"/>
    </xf>
    <xf numFmtId="164" fontId="19" fillId="0" borderId="1" xfId="1" applyNumberFormat="1" applyFont="1" applyFill="1" applyBorder="1" applyAlignment="1">
      <alignment vertical="center" wrapText="1"/>
    </xf>
    <xf numFmtId="0" fontId="58" fillId="0" borderId="1" xfId="0" applyFont="1" applyBorder="1" applyAlignment="1">
      <alignment horizontal="center" vertical="center" wrapText="1"/>
    </xf>
    <xf numFmtId="0" fontId="20" fillId="0" borderId="1" xfId="0" applyFont="1" applyBorder="1" applyAlignment="1">
      <alignment vertical="center" wrapText="1"/>
    </xf>
    <xf numFmtId="164" fontId="19" fillId="0" borderId="1" xfId="0" applyNumberFormat="1" applyFont="1" applyBorder="1" applyAlignment="1">
      <alignment vertical="center" wrapText="1"/>
    </xf>
    <xf numFmtId="164" fontId="20" fillId="0" borderId="1" xfId="0" applyNumberFormat="1" applyFont="1" applyBorder="1" applyAlignment="1">
      <alignment vertical="center" wrapText="1"/>
    </xf>
    <xf numFmtId="169" fontId="19" fillId="0" borderId="1" xfId="0" applyNumberFormat="1" applyFont="1" applyBorder="1" applyAlignment="1">
      <alignment horizontal="center" vertical="center" wrapText="1"/>
    </xf>
    <xf numFmtId="0" fontId="18" fillId="0" borderId="1" xfId="0" applyFont="1" applyBorder="1" applyAlignment="1">
      <alignment vertical="center" wrapText="1"/>
    </xf>
    <xf numFmtId="0" fontId="19" fillId="0" borderId="1" xfId="0" applyFont="1" applyBorder="1" applyAlignment="1">
      <alignment vertical="center" wrapText="1"/>
    </xf>
    <xf numFmtId="164" fontId="18" fillId="0" borderId="1" xfId="0" applyNumberFormat="1" applyFont="1" applyBorder="1" applyAlignment="1">
      <alignment vertical="center" wrapText="1"/>
    </xf>
    <xf numFmtId="0" fontId="18" fillId="0" borderId="1" xfId="0" applyFont="1" applyBorder="1" applyAlignment="1">
      <alignment horizontal="center" vertical="center" wrapText="1"/>
    </xf>
    <xf numFmtId="164" fontId="18" fillId="0" borderId="1" xfId="1" applyNumberFormat="1" applyFont="1" applyFill="1" applyBorder="1" applyAlignment="1">
      <alignment horizontal="center" vertical="center" wrapText="1"/>
    </xf>
    <xf numFmtId="164" fontId="18" fillId="0" borderId="1" xfId="0" applyNumberFormat="1" applyFont="1" applyBorder="1" applyAlignment="1">
      <alignment horizontal="center" vertical="center" wrapText="1"/>
    </xf>
    <xf numFmtId="164" fontId="18" fillId="0" borderId="1" xfId="1" applyNumberFormat="1" applyFont="1" applyFill="1" applyBorder="1" applyAlignment="1">
      <alignment vertical="center" wrapText="1"/>
    </xf>
    <xf numFmtId="0" fontId="51" fillId="0" borderId="0" xfId="0" applyFont="1" applyAlignment="1">
      <alignment vertical="center"/>
    </xf>
    <xf numFmtId="164" fontId="19" fillId="0" borderId="1" xfId="0" applyNumberFormat="1" applyFont="1" applyBorder="1" applyAlignment="1">
      <alignment horizontal="center" vertical="center" wrapText="1"/>
    </xf>
    <xf numFmtId="164" fontId="20" fillId="0" borderId="1" xfId="1" applyNumberFormat="1" applyFont="1" applyFill="1" applyBorder="1" applyAlignment="1">
      <alignment vertical="center" wrapText="1"/>
    </xf>
    <xf numFmtId="0" fontId="20" fillId="0" borderId="1" xfId="0" applyFont="1" applyBorder="1" applyAlignment="1">
      <alignment horizontal="center" vertical="center" wrapText="1"/>
    </xf>
    <xf numFmtId="164" fontId="20" fillId="0" borderId="1" xfId="1" applyNumberFormat="1" applyFont="1" applyFill="1" applyBorder="1" applyAlignment="1">
      <alignment horizontal="center" vertical="center" wrapText="1"/>
    </xf>
    <xf numFmtId="164" fontId="20" fillId="0" borderId="1" xfId="0" applyNumberFormat="1" applyFont="1" applyBorder="1" applyAlignment="1">
      <alignment horizontal="center" vertical="center" wrapText="1"/>
    </xf>
    <xf numFmtId="0" fontId="59" fillId="0" borderId="0" xfId="0" applyFont="1" applyAlignment="1">
      <alignment vertical="center"/>
    </xf>
    <xf numFmtId="166" fontId="19" fillId="0" borderId="1" xfId="1" applyNumberFormat="1" applyFont="1" applyFill="1" applyBorder="1" applyAlignment="1">
      <alignment horizontal="center" vertical="center" wrapText="1"/>
    </xf>
    <xf numFmtId="2" fontId="19" fillId="0" borderId="1" xfId="0" applyNumberFormat="1" applyFont="1" applyBorder="1" applyAlignment="1">
      <alignment horizontal="center" vertical="center" wrapText="1"/>
    </xf>
    <xf numFmtId="43" fontId="19" fillId="0" borderId="1" xfId="1" applyFont="1" applyFill="1" applyBorder="1" applyAlignment="1">
      <alignment horizontal="center" vertical="center" wrapText="1"/>
    </xf>
    <xf numFmtId="0" fontId="51" fillId="0" borderId="1" xfId="0" applyFont="1" applyBorder="1" applyAlignment="1">
      <alignment vertical="center"/>
    </xf>
    <xf numFmtId="164" fontId="18" fillId="0" borderId="1" xfId="1" applyNumberFormat="1" applyFont="1" applyFill="1" applyBorder="1" applyAlignment="1">
      <alignment horizontal="center" vertical="center"/>
    </xf>
    <xf numFmtId="0" fontId="18" fillId="0" borderId="1" xfId="0" applyFont="1" applyBorder="1" applyAlignment="1">
      <alignment horizontal="center" vertical="center"/>
    </xf>
    <xf numFmtId="43" fontId="18" fillId="0" borderId="1" xfId="1" applyFont="1" applyFill="1" applyBorder="1" applyAlignment="1">
      <alignment horizontal="center" vertical="center"/>
    </xf>
    <xf numFmtId="164" fontId="18" fillId="0" borderId="1" xfId="1" applyNumberFormat="1" applyFont="1" applyFill="1" applyBorder="1" applyAlignment="1">
      <alignment vertical="center"/>
    </xf>
    <xf numFmtId="0" fontId="60" fillId="0" borderId="0" xfId="0" applyFont="1" applyAlignment="1">
      <alignment vertical="center"/>
    </xf>
    <xf numFmtId="0" fontId="9" fillId="0" borderId="0" xfId="0" applyFont="1" applyAlignment="1">
      <alignment horizontal="center" vertical="center"/>
    </xf>
    <xf numFmtId="0" fontId="30" fillId="0" borderId="0" xfId="0" applyFont="1"/>
    <xf numFmtId="0" fontId="30"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6" fillId="0" borderId="1" xfId="0" applyFont="1" applyBorder="1" applyAlignment="1">
      <alignment vertical="center" wrapText="1"/>
    </xf>
    <xf numFmtId="0" fontId="61" fillId="0" borderId="0" xfId="0" applyFont="1"/>
    <xf numFmtId="0" fontId="61" fillId="0" borderId="0" xfId="0" applyFont="1" applyAlignment="1">
      <alignment horizontal="center"/>
    </xf>
    <xf numFmtId="0" fontId="62" fillId="0" borderId="0" xfId="0" applyFont="1"/>
    <xf numFmtId="0" fontId="62" fillId="0" borderId="1" xfId="0" applyFont="1" applyBorder="1" applyAlignment="1">
      <alignment horizontal="center" vertical="center"/>
    </xf>
    <xf numFmtId="0" fontId="62" fillId="0" borderId="1" xfId="0" applyFont="1" applyBorder="1" applyAlignment="1">
      <alignment horizontal="center"/>
    </xf>
    <xf numFmtId="0" fontId="23" fillId="0" borderId="1" xfId="0" applyFont="1" applyBorder="1" applyAlignment="1">
      <alignment vertical="top" wrapText="1"/>
    </xf>
    <xf numFmtId="0" fontId="61" fillId="0" borderId="1" xfId="0" applyFont="1" applyBorder="1" applyAlignment="1">
      <alignment horizontal="center"/>
    </xf>
    <xf numFmtId="0" fontId="61" fillId="0" borderId="1" xfId="0" applyFont="1" applyBorder="1"/>
    <xf numFmtId="0" fontId="61" fillId="0" borderId="1" xfId="0" applyFont="1" applyBorder="1" applyAlignment="1">
      <alignment horizontal="center" vertical="center"/>
    </xf>
    <xf numFmtId="0" fontId="62" fillId="0" borderId="1" xfId="0" applyFont="1" applyBorder="1"/>
    <xf numFmtId="0" fontId="23" fillId="0" borderId="1" xfId="0" applyFont="1" applyBorder="1" applyAlignment="1">
      <alignment vertical="center" wrapText="1"/>
    </xf>
    <xf numFmtId="0" fontId="61" fillId="0" borderId="0" xfId="0" applyFont="1" applyAlignment="1">
      <alignment vertical="center"/>
    </xf>
    <xf numFmtId="0" fontId="61" fillId="0" borderId="6" xfId="0" applyFont="1" applyBorder="1" applyAlignment="1">
      <alignment horizontal="center" vertical="center" wrapText="1"/>
    </xf>
    <xf numFmtId="0" fontId="61" fillId="0" borderId="7" xfId="0" applyFont="1" applyBorder="1" applyAlignment="1">
      <alignment horizontal="center" vertical="center" wrapText="1"/>
    </xf>
    <xf numFmtId="0" fontId="61" fillId="0" borderId="6" xfId="0" applyFont="1" applyBorder="1" applyAlignment="1">
      <alignment horizontal="center" wrapText="1"/>
    </xf>
    <xf numFmtId="0" fontId="62" fillId="0" borderId="6" xfId="0" applyFont="1" applyBorder="1" applyAlignment="1">
      <alignment horizontal="left" wrapText="1"/>
    </xf>
    <xf numFmtId="169" fontId="61" fillId="0" borderId="1" xfId="0" applyNumberFormat="1" applyFont="1" applyBorder="1" applyAlignment="1">
      <alignment horizontal="center"/>
    </xf>
    <xf numFmtId="169" fontId="62" fillId="0" borderId="1" xfId="0" applyNumberFormat="1" applyFont="1" applyBorder="1" applyAlignment="1">
      <alignment horizontal="center"/>
    </xf>
    <xf numFmtId="0" fontId="63" fillId="0" borderId="1" xfId="0" applyFont="1" applyBorder="1" applyAlignment="1">
      <alignment vertical="center" wrapText="1"/>
    </xf>
    <xf numFmtId="3" fontId="63" fillId="0" borderId="1" xfId="0" applyNumberFormat="1" applyFont="1" applyBorder="1" applyAlignment="1">
      <alignment horizontal="right" vertical="center" wrapText="1"/>
    </xf>
    <xf numFmtId="3" fontId="63" fillId="0" borderId="1" xfId="0" applyNumberFormat="1" applyFont="1" applyBorder="1" applyAlignment="1">
      <alignment vertical="center" wrapText="1"/>
    </xf>
    <xf numFmtId="0" fontId="20" fillId="4" borderId="6" xfId="0" applyFont="1" applyFill="1" applyBorder="1" applyAlignment="1">
      <alignment horizontal="center" vertical="center" wrapText="1"/>
    </xf>
    <xf numFmtId="0" fontId="19" fillId="4" borderId="2" xfId="0" applyFont="1" applyFill="1" applyBorder="1" applyAlignment="1">
      <alignment horizontal="right" vertical="center" wrapText="1"/>
    </xf>
    <xf numFmtId="0" fontId="18" fillId="4" borderId="6" xfId="0" applyFont="1" applyFill="1" applyBorder="1" applyAlignment="1">
      <alignment vertical="center" wrapText="1"/>
    </xf>
    <xf numFmtId="0" fontId="64" fillId="0" borderId="0" xfId="0" applyFont="1"/>
    <xf numFmtId="0" fontId="57" fillId="3" borderId="1" xfId="0" applyFont="1" applyFill="1" applyBorder="1" applyAlignment="1">
      <alignment horizontal="center" vertical="center" wrapText="1"/>
    </xf>
    <xf numFmtId="0" fontId="54" fillId="3" borderId="1" xfId="0" applyFont="1" applyFill="1" applyBorder="1" applyAlignment="1">
      <alignment horizontal="center" vertical="center" wrapText="1"/>
    </xf>
    <xf numFmtId="0" fontId="54" fillId="3" borderId="1" xfId="0" applyFont="1" applyFill="1" applyBorder="1" applyAlignment="1">
      <alignment horizontal="justify" vertical="center" wrapText="1"/>
    </xf>
    <xf numFmtId="0" fontId="33" fillId="3" borderId="1" xfId="0" applyFont="1" applyFill="1" applyBorder="1" applyAlignment="1">
      <alignment horizontal="center" vertical="center" wrapText="1"/>
    </xf>
    <xf numFmtId="0" fontId="36" fillId="3" borderId="1" xfId="0" applyFont="1" applyFill="1" applyBorder="1" applyAlignment="1">
      <alignment horizontal="right" vertical="center" wrapText="1"/>
    </xf>
    <xf numFmtId="0" fontId="33" fillId="3" borderId="1" xfId="0" applyFont="1" applyFill="1" applyBorder="1" applyAlignment="1">
      <alignment horizontal="right" vertical="center" wrapText="1"/>
    </xf>
    <xf numFmtId="3" fontId="54" fillId="3" borderId="1" xfId="0" applyNumberFormat="1" applyFont="1" applyFill="1" applyBorder="1" applyAlignment="1">
      <alignment horizontal="right" vertical="center" wrapText="1"/>
    </xf>
    <xf numFmtId="0" fontId="54" fillId="3" borderId="1" xfId="0" applyFont="1" applyFill="1" applyBorder="1" applyAlignment="1">
      <alignment vertical="center" wrapText="1"/>
    </xf>
    <xf numFmtId="0" fontId="64" fillId="3" borderId="1" xfId="0" applyFont="1" applyFill="1" applyBorder="1" applyAlignment="1">
      <alignment vertical="center" wrapText="1"/>
    </xf>
    <xf numFmtId="0" fontId="64" fillId="3" borderId="1" xfId="0" applyFont="1" applyFill="1" applyBorder="1" applyAlignment="1">
      <alignment vertical="center"/>
    </xf>
    <xf numFmtId="0" fontId="58" fillId="3" borderId="1" xfId="0" applyFont="1" applyFill="1" applyBorder="1" applyAlignment="1">
      <alignment horizontal="center" vertical="center" wrapText="1"/>
    </xf>
    <xf numFmtId="0" fontId="58" fillId="3" borderId="1" xfId="0" applyFont="1" applyFill="1" applyBorder="1" applyAlignment="1">
      <alignment vertical="center" wrapText="1"/>
    </xf>
    <xf numFmtId="0" fontId="58" fillId="3" borderId="1" xfId="0" applyFont="1" applyFill="1" applyBorder="1" applyAlignment="1">
      <alignment horizontal="right" vertical="center" wrapText="1"/>
    </xf>
    <xf numFmtId="3" fontId="58" fillId="3" borderId="1" xfId="0" applyNumberFormat="1" applyFont="1" applyFill="1" applyBorder="1" applyAlignment="1">
      <alignment horizontal="right" vertical="center" wrapText="1"/>
    </xf>
    <xf numFmtId="0" fontId="57" fillId="3" borderId="1" xfId="0" applyFont="1" applyFill="1" applyBorder="1" applyAlignment="1">
      <alignment vertical="center" wrapText="1"/>
    </xf>
    <xf numFmtId="0" fontId="57" fillId="3" borderId="1" xfId="0" applyFont="1" applyFill="1" applyBorder="1" applyAlignment="1">
      <alignment horizontal="right" vertical="center" wrapText="1"/>
    </xf>
    <xf numFmtId="3" fontId="57" fillId="3" borderId="1" xfId="0" applyNumberFormat="1" applyFont="1" applyFill="1" applyBorder="1" applyAlignment="1">
      <alignment horizontal="right" vertical="center"/>
    </xf>
    <xf numFmtId="0" fontId="54" fillId="3" borderId="1" xfId="0" applyFont="1" applyFill="1" applyBorder="1" applyAlignment="1">
      <alignment horizontal="right" vertical="center" wrapText="1"/>
    </xf>
    <xf numFmtId="3" fontId="57" fillId="3" borderId="1" xfId="0" applyNumberFormat="1" applyFont="1" applyFill="1" applyBorder="1" applyAlignment="1">
      <alignment horizontal="right" vertical="center" wrapText="1"/>
    </xf>
    <xf numFmtId="0" fontId="36" fillId="0" borderId="1" xfId="0" applyFont="1" applyBorder="1" applyAlignment="1">
      <alignment horizontal="right" vertical="center" wrapText="1"/>
    </xf>
    <xf numFmtId="0" fontId="57" fillId="3" borderId="1" xfId="0" applyFont="1" applyFill="1" applyBorder="1" applyAlignment="1">
      <alignment horizontal="right" vertical="center"/>
    </xf>
    <xf numFmtId="0" fontId="57" fillId="3" borderId="1" xfId="0" applyFont="1" applyFill="1" applyBorder="1" applyAlignment="1">
      <alignment horizontal="justify" vertical="center" wrapText="1"/>
    </xf>
    <xf numFmtId="0" fontId="36" fillId="3" borderId="1" xfId="0" applyFont="1" applyFill="1" applyBorder="1" applyAlignment="1">
      <alignment horizontal="center" vertical="center" wrapText="1"/>
    </xf>
    <xf numFmtId="0" fontId="36" fillId="3" borderId="1" xfId="0" applyFont="1" applyFill="1" applyBorder="1" applyAlignment="1">
      <alignment horizontal="right" vertical="center"/>
    </xf>
    <xf numFmtId="0" fontId="65" fillId="3" borderId="1" xfId="0" applyFont="1" applyFill="1" applyBorder="1" applyAlignment="1">
      <alignment horizontal="center" vertical="center" wrapText="1"/>
    </xf>
    <xf numFmtId="0" fontId="66" fillId="3" borderId="1" xfId="0" applyFont="1" applyFill="1" applyBorder="1" applyAlignment="1">
      <alignment horizontal="center" vertical="center" wrapText="1"/>
    </xf>
    <xf numFmtId="3" fontId="33" fillId="3" borderId="1" xfId="0" applyNumberFormat="1" applyFont="1" applyFill="1" applyBorder="1" applyAlignment="1">
      <alignment horizontal="right" vertical="center" wrapText="1"/>
    </xf>
    <xf numFmtId="3" fontId="64" fillId="0" borderId="0" xfId="0" applyNumberFormat="1" applyFont="1"/>
    <xf numFmtId="164" fontId="0" fillId="0" borderId="0" xfId="0" applyNumberFormat="1" applyAlignment="1">
      <alignment vertical="center"/>
    </xf>
    <xf numFmtId="164" fontId="33" fillId="3" borderId="1" xfId="1" applyNumberFormat="1" applyFont="1" applyFill="1" applyBorder="1" applyAlignment="1">
      <alignment horizontal="right" vertical="center" wrapText="1"/>
    </xf>
    <xf numFmtId="164" fontId="64" fillId="0" borderId="0" xfId="1" applyNumberFormat="1" applyFont="1" applyAlignment="1">
      <alignment vertical="center"/>
    </xf>
    <xf numFmtId="0" fontId="67" fillId="3" borderId="1" xfId="0" applyFont="1" applyFill="1" applyBorder="1" applyAlignment="1">
      <alignment horizontal="center" vertical="center" wrapText="1"/>
    </xf>
    <xf numFmtId="4" fontId="2" fillId="0" borderId="0" xfId="0" applyNumberFormat="1" applyFont="1" applyAlignment="1">
      <alignment vertical="center"/>
    </xf>
    <xf numFmtId="3" fontId="3" fillId="0" borderId="0" xfId="0" applyNumberFormat="1" applyFont="1" applyAlignment="1">
      <alignment horizontal="right" vertical="center" wrapText="1"/>
    </xf>
    <xf numFmtId="3" fontId="54" fillId="3" borderId="0" xfId="0" applyNumberFormat="1" applyFont="1" applyFill="1" applyAlignment="1">
      <alignment horizontal="right" vertical="center" wrapText="1"/>
    </xf>
    <xf numFmtId="3" fontId="2" fillId="0" borderId="1" xfId="0" applyNumberFormat="1" applyFont="1" applyBorder="1" applyAlignment="1">
      <alignment vertical="center" wrapText="1"/>
    </xf>
    <xf numFmtId="43" fontId="54" fillId="3" borderId="1" xfId="1" applyFont="1" applyFill="1" applyBorder="1" applyAlignment="1">
      <alignment horizontal="right" vertical="center" wrapText="1"/>
    </xf>
    <xf numFmtId="0" fontId="44" fillId="4" borderId="1" xfId="0" applyFont="1" applyFill="1" applyBorder="1" applyAlignment="1">
      <alignment horizontal="center" vertical="center" wrapText="1"/>
    </xf>
    <xf numFmtId="0" fontId="42" fillId="4" borderId="1" xfId="0" applyFont="1" applyFill="1" applyBorder="1" applyAlignment="1">
      <alignment horizontal="center" vertical="center"/>
    </xf>
    <xf numFmtId="9" fontId="20" fillId="4" borderId="1" xfId="0" applyNumberFormat="1" applyFont="1" applyFill="1" applyBorder="1" applyAlignment="1">
      <alignment horizontal="right" vertical="center" wrapText="1"/>
    </xf>
    <xf numFmtId="0" fontId="30" fillId="0" borderId="0" xfId="0" applyFont="1" applyAlignment="1">
      <alignment vertical="center"/>
    </xf>
    <xf numFmtId="0" fontId="34" fillId="0" borderId="0" xfId="0" applyFont="1" applyAlignment="1">
      <alignment vertical="center"/>
    </xf>
    <xf numFmtId="0" fontId="68" fillId="3" borderId="1" xfId="0" applyFont="1" applyFill="1" applyBorder="1" applyAlignment="1">
      <alignment horizontal="center" vertical="center" wrapText="1"/>
    </xf>
    <xf numFmtId="0" fontId="68" fillId="3" borderId="1" xfId="0" applyFont="1" applyFill="1" applyBorder="1" applyAlignment="1">
      <alignment vertical="center" wrapText="1"/>
    </xf>
    <xf numFmtId="0" fontId="69" fillId="3" borderId="1" xfId="0" applyFont="1" applyFill="1" applyBorder="1" applyAlignment="1">
      <alignment horizontal="center" vertical="center" wrapText="1"/>
    </xf>
    <xf numFmtId="0" fontId="70" fillId="3" borderId="1" xfId="0" applyFont="1" applyFill="1" applyBorder="1" applyAlignment="1">
      <alignment vertical="center" wrapText="1"/>
    </xf>
    <xf numFmtId="0" fontId="70" fillId="3" borderId="1" xfId="0" applyFont="1" applyFill="1" applyBorder="1" applyAlignment="1">
      <alignment vertical="center"/>
    </xf>
    <xf numFmtId="3" fontId="68" fillId="3" borderId="1" xfId="0" applyNumberFormat="1" applyFont="1" applyFill="1" applyBorder="1" applyAlignment="1">
      <alignment horizontal="right" vertical="center" wrapText="1"/>
    </xf>
    <xf numFmtId="0" fontId="69" fillId="3" borderId="1" xfId="0" applyFont="1" applyFill="1" applyBorder="1" applyAlignment="1">
      <alignment vertical="center" wrapText="1"/>
    </xf>
    <xf numFmtId="3" fontId="69" fillId="3" borderId="1" xfId="0" applyNumberFormat="1" applyFont="1" applyFill="1" applyBorder="1" applyAlignment="1">
      <alignment horizontal="right" vertical="center" wrapText="1"/>
    </xf>
    <xf numFmtId="0" fontId="68" fillId="3" borderId="1" xfId="0" applyFont="1" applyFill="1" applyBorder="1" applyAlignment="1">
      <alignment horizontal="justify" vertical="center" wrapText="1"/>
    </xf>
    <xf numFmtId="0" fontId="68" fillId="3" borderId="1" xfId="0" applyFont="1" applyFill="1" applyBorder="1" applyAlignment="1">
      <alignment horizontal="right" vertical="center" wrapText="1"/>
    </xf>
    <xf numFmtId="0" fontId="71" fillId="3" borderId="1" xfId="0" applyFont="1" applyFill="1" applyBorder="1" applyAlignment="1">
      <alignment vertical="center" wrapText="1"/>
    </xf>
    <xf numFmtId="3" fontId="68" fillId="3" borderId="1" xfId="0" applyNumberFormat="1" applyFont="1" applyFill="1" applyBorder="1" applyAlignment="1">
      <alignment horizontal="right" vertical="center"/>
    </xf>
    <xf numFmtId="0" fontId="71" fillId="3" borderId="1" xfId="0" applyFont="1" applyFill="1" applyBorder="1" applyAlignment="1">
      <alignment vertical="center"/>
    </xf>
    <xf numFmtId="0" fontId="69" fillId="3" borderId="1" xfId="0" applyFont="1" applyFill="1" applyBorder="1" applyAlignment="1">
      <alignment horizontal="justify" vertical="center" wrapText="1"/>
    </xf>
    <xf numFmtId="0" fontId="69" fillId="3" borderId="1" xfId="0" applyFont="1" applyFill="1" applyBorder="1" applyAlignment="1">
      <alignment horizontal="right" vertical="center" wrapText="1"/>
    </xf>
    <xf numFmtId="3" fontId="69" fillId="3" borderId="1" xfId="0" applyNumberFormat="1" applyFont="1" applyFill="1" applyBorder="1" applyAlignment="1">
      <alignment horizontal="right" vertical="center"/>
    </xf>
    <xf numFmtId="3" fontId="33" fillId="5" borderId="1" xfId="0" applyNumberFormat="1" applyFont="1" applyFill="1" applyBorder="1" applyAlignment="1">
      <alignment horizontal="right" vertical="center" wrapText="1"/>
    </xf>
    <xf numFmtId="0" fontId="20" fillId="4" borderId="8" xfId="0" applyFont="1" applyFill="1" applyBorder="1" applyAlignment="1">
      <alignment vertical="center" wrapText="1"/>
    </xf>
    <xf numFmtId="43" fontId="18" fillId="4" borderId="1" xfId="1" applyFont="1" applyFill="1" applyBorder="1" applyAlignment="1">
      <alignment horizontal="center" vertical="center" wrapText="1"/>
    </xf>
    <xf numFmtId="43" fontId="18" fillId="4" borderId="1" xfId="1" applyFont="1" applyFill="1" applyBorder="1" applyAlignment="1">
      <alignment vertical="center" wrapText="1"/>
    </xf>
    <xf numFmtId="43" fontId="19" fillId="4" borderId="1" xfId="1" applyFont="1" applyFill="1" applyBorder="1" applyAlignment="1">
      <alignment vertical="center" wrapText="1"/>
    </xf>
    <xf numFmtId="43" fontId="20" fillId="4" borderId="1" xfId="1" applyFont="1" applyFill="1" applyBorder="1" applyAlignment="1">
      <alignment vertical="center" wrapText="1"/>
    </xf>
    <xf numFmtId="43" fontId="18" fillId="4" borderId="1" xfId="1" applyFont="1" applyFill="1" applyBorder="1" applyAlignment="1">
      <alignment horizontal="justify" vertical="center" wrapText="1"/>
    </xf>
    <xf numFmtId="43" fontId="19" fillId="4" borderId="1" xfId="1" applyFont="1" applyFill="1" applyBorder="1" applyAlignment="1">
      <alignment horizontal="justify" vertical="center" wrapText="1"/>
    </xf>
    <xf numFmtId="43" fontId="20" fillId="4" borderId="8" xfId="1" applyFont="1" applyFill="1" applyBorder="1" applyAlignment="1">
      <alignment vertical="center" wrapText="1"/>
    </xf>
    <xf numFmtId="43" fontId="18" fillId="4" borderId="6" xfId="1" applyFont="1" applyFill="1" applyBorder="1" applyAlignment="1">
      <alignment vertical="center" wrapText="1"/>
    </xf>
    <xf numFmtId="164" fontId="18" fillId="4" borderId="1" xfId="1" applyNumberFormat="1" applyFont="1" applyFill="1" applyBorder="1" applyAlignment="1">
      <alignment horizontal="center" vertical="center" wrapText="1"/>
    </xf>
    <xf numFmtId="164" fontId="18" fillId="4" borderId="1" xfId="1" applyNumberFormat="1" applyFont="1" applyFill="1" applyBorder="1" applyAlignment="1">
      <alignment horizontal="justify" vertical="center" wrapText="1"/>
    </xf>
    <xf numFmtId="164" fontId="19" fillId="4" borderId="1" xfId="1" applyNumberFormat="1" applyFont="1" applyFill="1" applyBorder="1" applyAlignment="1">
      <alignment horizontal="justify" vertical="center" wrapText="1"/>
    </xf>
    <xf numFmtId="164" fontId="20" fillId="4" borderId="8" xfId="1" applyNumberFormat="1" applyFont="1" applyFill="1" applyBorder="1" applyAlignment="1">
      <alignment vertical="center" wrapText="1"/>
    </xf>
    <xf numFmtId="164" fontId="18" fillId="4" borderId="6" xfId="1" applyNumberFormat="1" applyFont="1" applyFill="1" applyBorder="1" applyAlignment="1">
      <alignment vertical="center" wrapText="1"/>
    </xf>
    <xf numFmtId="0" fontId="50" fillId="4" borderId="0" xfId="0" applyFont="1" applyFill="1" applyAlignment="1">
      <alignment vertical="center" wrapText="1"/>
    </xf>
    <xf numFmtId="0" fontId="6" fillId="4" borderId="0" xfId="0" applyFont="1" applyFill="1" applyAlignment="1">
      <alignment vertical="center" wrapText="1"/>
    </xf>
    <xf numFmtId="164" fontId="6" fillId="4" borderId="0" xfId="0" applyNumberFormat="1" applyFont="1" applyFill="1" applyAlignment="1">
      <alignment vertical="center" wrapText="1"/>
    </xf>
    <xf numFmtId="0" fontId="11" fillId="4" borderId="0" xfId="0" applyFont="1" applyFill="1" applyAlignment="1">
      <alignment vertical="center" wrapText="1"/>
    </xf>
    <xf numFmtId="0" fontId="50" fillId="4" borderId="0" xfId="0" applyFont="1" applyFill="1" applyAlignment="1">
      <alignment horizontal="center" vertical="center" wrapText="1"/>
    </xf>
    <xf numFmtId="0" fontId="72" fillId="4" borderId="0" xfId="0" applyFont="1" applyFill="1" applyAlignment="1">
      <alignment vertical="center" wrapText="1"/>
    </xf>
    <xf numFmtId="0" fontId="50" fillId="4" borderId="0" xfId="0" quotePrefix="1" applyFont="1" applyFill="1" applyAlignment="1">
      <alignment vertical="center" wrapText="1"/>
    </xf>
    <xf numFmtId="166" fontId="19" fillId="0" borderId="1" xfId="1" quotePrefix="1" applyNumberFormat="1" applyFont="1" applyBorder="1" applyAlignment="1">
      <alignment vertical="center" wrapText="1"/>
    </xf>
    <xf numFmtId="166" fontId="20" fillId="0" borderId="1" xfId="1" applyNumberFormat="1" applyFont="1" applyBorder="1" applyAlignment="1">
      <alignment vertical="center" wrapText="1"/>
    </xf>
    <xf numFmtId="166" fontId="18" fillId="0" borderId="1" xfId="1" applyNumberFormat="1" applyFont="1" applyBorder="1" applyAlignment="1">
      <alignment vertical="center" wrapText="1"/>
    </xf>
    <xf numFmtId="164" fontId="19" fillId="0" borderId="1" xfId="1" quotePrefix="1" applyNumberFormat="1" applyFont="1" applyBorder="1" applyAlignment="1">
      <alignment vertical="center" wrapText="1"/>
    </xf>
    <xf numFmtId="164" fontId="20" fillId="0" borderId="1" xfId="1" applyNumberFormat="1" applyFont="1" applyBorder="1" applyAlignment="1">
      <alignment vertical="center" wrapText="1"/>
    </xf>
    <xf numFmtId="164" fontId="18" fillId="0" borderId="1" xfId="1" applyNumberFormat="1" applyFont="1" applyBorder="1" applyAlignment="1">
      <alignment vertical="center" wrapText="1"/>
    </xf>
    <xf numFmtId="0" fontId="52" fillId="0" borderId="0" xfId="0" applyFont="1" applyAlignment="1">
      <alignment horizontal="center"/>
    </xf>
    <xf numFmtId="166" fontId="54" fillId="0" borderId="1" xfId="1" applyNumberFormat="1" applyFont="1" applyBorder="1" applyAlignment="1">
      <alignment vertical="center" wrapText="1"/>
    </xf>
    <xf numFmtId="166" fontId="56" fillId="0" borderId="1" xfId="1" applyNumberFormat="1" applyFont="1" applyBorder="1" applyAlignment="1">
      <alignment vertical="center" wrapText="1"/>
    </xf>
    <xf numFmtId="164" fontId="54" fillId="0" borderId="1" xfId="1" applyNumberFormat="1" applyFont="1" applyBorder="1" applyAlignment="1">
      <alignment vertical="center" wrapText="1"/>
    </xf>
    <xf numFmtId="164" fontId="56" fillId="0" borderId="1" xfId="1" applyNumberFormat="1" applyFont="1" applyBorder="1" applyAlignment="1">
      <alignment vertical="center" wrapText="1"/>
    </xf>
    <xf numFmtId="0" fontId="18" fillId="0" borderId="1" xfId="0" quotePrefix="1" applyFont="1" applyBorder="1" applyAlignment="1">
      <alignment horizontal="center" vertical="center" wrapText="1"/>
    </xf>
    <xf numFmtId="166" fontId="54" fillId="0" borderId="1" xfId="1" applyNumberFormat="1" applyFont="1" applyBorder="1" applyAlignment="1">
      <alignment horizontal="center" vertical="center" wrapText="1"/>
    </xf>
    <xf numFmtId="164" fontId="54" fillId="0" borderId="1" xfId="1" applyNumberFormat="1" applyFont="1" applyBorder="1" applyAlignment="1">
      <alignment horizontal="center" vertical="center" wrapText="1"/>
    </xf>
    <xf numFmtId="166" fontId="52" fillId="0" borderId="0" xfId="1" applyNumberFormat="1" applyFont="1"/>
    <xf numFmtId="164" fontId="44" fillId="4" borderId="0" xfId="0" applyNumberFormat="1" applyFont="1" applyFill="1" applyAlignment="1">
      <alignment vertical="center"/>
    </xf>
    <xf numFmtId="16" fontId="0" fillId="0" borderId="0" xfId="0" quotePrefix="1" applyNumberFormat="1"/>
    <xf numFmtId="0" fontId="0" fillId="0" borderId="0" xfId="0" quotePrefix="1"/>
    <xf numFmtId="43" fontId="0" fillId="0" borderId="0" xfId="0" applyNumberFormat="1"/>
    <xf numFmtId="170" fontId="0" fillId="0" borderId="0" xfId="0" applyNumberFormat="1"/>
    <xf numFmtId="168" fontId="19" fillId="4" borderId="1" xfId="0" applyNumberFormat="1" applyFont="1" applyFill="1" applyBorder="1" applyAlignment="1">
      <alignment horizontal="right" vertical="center" wrapText="1"/>
    </xf>
    <xf numFmtId="164" fontId="19" fillId="4" borderId="1" xfId="0" applyNumberFormat="1" applyFont="1" applyFill="1" applyBorder="1" applyAlignment="1">
      <alignment horizontal="center" vertical="center" wrapText="1"/>
    </xf>
    <xf numFmtId="164" fontId="19" fillId="4" borderId="1" xfId="0" applyNumberFormat="1" applyFont="1" applyFill="1" applyBorder="1" applyAlignment="1">
      <alignment horizontal="right" vertical="center" wrapText="1"/>
    </xf>
    <xf numFmtId="0" fontId="19" fillId="4" borderId="1" xfId="0" quotePrefix="1" applyFont="1" applyFill="1" applyBorder="1" applyAlignment="1">
      <alignment horizontal="center" vertical="center" wrapText="1"/>
    </xf>
    <xf numFmtId="0" fontId="19" fillId="4" borderId="9" xfId="0" quotePrefix="1" applyFont="1" applyFill="1" applyBorder="1" applyAlignment="1">
      <alignment horizontal="center" vertical="center" wrapText="1"/>
    </xf>
    <xf numFmtId="164" fontId="6" fillId="4" borderId="1" xfId="0" applyNumberFormat="1" applyFont="1" applyFill="1" applyBorder="1" applyAlignment="1">
      <alignment vertical="center" wrapText="1"/>
    </xf>
    <xf numFmtId="164" fontId="73" fillId="0" borderId="0" xfId="0" applyNumberFormat="1" applyFont="1" applyAlignment="1">
      <alignment vertical="center"/>
    </xf>
    <xf numFmtId="166" fontId="29" fillId="4" borderId="0" xfId="0" applyNumberFormat="1" applyFont="1" applyFill="1" applyAlignment="1">
      <alignment vertical="center"/>
    </xf>
    <xf numFmtId="0" fontId="9" fillId="4" borderId="0" xfId="0" applyFont="1" applyFill="1" applyAlignment="1">
      <alignment horizontal="center" vertical="center" wrapText="1"/>
    </xf>
    <xf numFmtId="0" fontId="11" fillId="4" borderId="0" xfId="0" applyFont="1" applyFill="1" applyAlignment="1">
      <alignment horizontal="center" vertical="center" wrapText="1"/>
    </xf>
    <xf numFmtId="0" fontId="18" fillId="4" borderId="1" xfId="0" applyFont="1" applyFill="1" applyBorder="1" applyAlignment="1">
      <alignment horizontal="center" vertical="center" wrapText="1"/>
    </xf>
    <xf numFmtId="164" fontId="18" fillId="4" borderId="1" xfId="0" applyNumberFormat="1" applyFont="1" applyFill="1" applyBorder="1" applyAlignment="1">
      <alignment horizontal="center" vertical="center" wrapText="1"/>
    </xf>
    <xf numFmtId="164" fontId="18" fillId="4" borderId="1" xfId="0" applyNumberFormat="1" applyFont="1" applyFill="1" applyBorder="1" applyAlignment="1">
      <alignment horizontal="right" vertical="center" wrapText="1"/>
    </xf>
    <xf numFmtId="168" fontId="20" fillId="4" borderId="1" xfId="0" applyNumberFormat="1" applyFont="1" applyFill="1" applyBorder="1" applyAlignment="1">
      <alignment vertical="center" wrapText="1"/>
    </xf>
    <xf numFmtId="168" fontId="19" fillId="4" borderId="1" xfId="0" applyNumberFormat="1" applyFont="1" applyFill="1" applyBorder="1" applyAlignment="1">
      <alignment vertical="center" wrapText="1"/>
    </xf>
    <xf numFmtId="164" fontId="19" fillId="4" borderId="1" xfId="0" applyNumberFormat="1" applyFont="1" applyFill="1" applyBorder="1" applyAlignment="1">
      <alignment vertical="center" wrapText="1"/>
    </xf>
    <xf numFmtId="0" fontId="3" fillId="4" borderId="1" xfId="0" applyFont="1" applyFill="1" applyBorder="1" applyAlignment="1">
      <alignment horizontal="right" vertical="center" wrapText="1"/>
    </xf>
    <xf numFmtId="0" fontId="19" fillId="4" borderId="4" xfId="0" applyFont="1" applyFill="1" applyBorder="1" applyAlignment="1">
      <alignment horizontal="center" vertical="center" wrapText="1"/>
    </xf>
    <xf numFmtId="164" fontId="20" fillId="4" borderId="1" xfId="0" applyNumberFormat="1" applyFont="1" applyFill="1" applyBorder="1" applyAlignment="1">
      <alignment horizontal="center" vertical="center" wrapText="1"/>
    </xf>
    <xf numFmtId="0" fontId="19" fillId="4" borderId="6" xfId="0" applyFont="1" applyFill="1" applyBorder="1" applyAlignment="1">
      <alignment horizontal="center" vertical="center" wrapText="1"/>
    </xf>
    <xf numFmtId="164" fontId="50" fillId="4" borderId="0" xfId="1" applyNumberFormat="1" applyFont="1" applyFill="1" applyAlignment="1">
      <alignment vertical="center" wrapText="1"/>
    </xf>
    <xf numFmtId="1" fontId="50" fillId="4" borderId="0" xfId="0" applyNumberFormat="1" applyFont="1" applyFill="1" applyAlignment="1">
      <alignment vertical="center" wrapText="1"/>
    </xf>
    <xf numFmtId="164" fontId="50" fillId="4" borderId="0" xfId="0" applyNumberFormat="1" applyFont="1" applyFill="1" applyAlignment="1">
      <alignment vertical="center" wrapText="1"/>
    </xf>
    <xf numFmtId="164" fontId="72" fillId="4" borderId="0" xfId="0" applyNumberFormat="1" applyFont="1" applyFill="1" applyAlignment="1">
      <alignment vertical="center" wrapText="1"/>
    </xf>
    <xf numFmtId="43" fontId="50" fillId="4" borderId="0" xfId="0" applyNumberFormat="1" applyFont="1" applyFill="1" applyAlignment="1">
      <alignment vertical="center" wrapText="1"/>
    </xf>
    <xf numFmtId="170" fontId="18" fillId="4" borderId="1" xfId="1" applyNumberFormat="1" applyFont="1" applyFill="1" applyBorder="1" applyAlignment="1">
      <alignment horizontal="center" vertical="center" wrapText="1"/>
    </xf>
    <xf numFmtId="164" fontId="18" fillId="4" borderId="1" xfId="1" applyNumberFormat="1" applyFont="1" applyFill="1" applyBorder="1" applyAlignment="1">
      <alignment horizontal="right" vertical="center" wrapText="1"/>
    </xf>
    <xf numFmtId="0" fontId="51" fillId="0" borderId="1" xfId="6" applyFont="1" applyBorder="1" applyAlignment="1">
      <alignment vertical="center" wrapText="1"/>
    </xf>
    <xf numFmtId="43" fontId="19" fillId="0" borderId="1" xfId="1" applyFont="1" applyBorder="1" applyAlignment="1">
      <alignment horizontal="center" vertical="center" wrapText="1"/>
    </xf>
    <xf numFmtId="0" fontId="2" fillId="4" borderId="1" xfId="0" quotePrefix="1" applyFont="1" applyFill="1" applyBorder="1" applyAlignment="1">
      <alignment horizontal="center" vertical="center"/>
    </xf>
    <xf numFmtId="0" fontId="3" fillId="4" borderId="1" xfId="0" quotePrefix="1" applyFont="1" applyFill="1" applyBorder="1" applyAlignment="1">
      <alignment horizontal="center" vertical="center"/>
    </xf>
    <xf numFmtId="0" fontId="2" fillId="0" borderId="1" xfId="0" quotePrefix="1" applyFont="1" applyBorder="1" applyAlignment="1">
      <alignment horizontal="center" vertical="center" wrapText="1"/>
    </xf>
    <xf numFmtId="0" fontId="42" fillId="4" borderId="1" xfId="0" quotePrefix="1" applyFont="1" applyFill="1" applyBorder="1" applyAlignment="1">
      <alignment horizontal="center" vertical="center"/>
    </xf>
    <xf numFmtId="0" fontId="0" fillId="4" borderId="0" xfId="0" applyFill="1"/>
    <xf numFmtId="0" fontId="0" fillId="4" borderId="1" xfId="0" applyFill="1" applyBorder="1"/>
    <xf numFmtId="164" fontId="29" fillId="4" borderId="1" xfId="1" applyNumberFormat="1" applyFont="1" applyFill="1" applyBorder="1" applyAlignment="1">
      <alignment horizontal="center"/>
    </xf>
    <xf numFmtId="0" fontId="0" fillId="4" borderId="1" xfId="0" applyFill="1" applyBorder="1" applyAlignment="1">
      <alignment horizontal="center"/>
    </xf>
    <xf numFmtId="0" fontId="3" fillId="4" borderId="1" xfId="0" applyFont="1" applyFill="1" applyBorder="1" applyAlignment="1">
      <alignment vertical="center"/>
    </xf>
    <xf numFmtId="0" fontId="5" fillId="4" borderId="1" xfId="5" applyFont="1" applyFill="1" applyBorder="1" applyAlignment="1">
      <alignment horizontal="center" vertical="center"/>
    </xf>
    <xf numFmtId="164" fontId="5" fillId="4" borderId="1" xfId="1" applyNumberFormat="1" applyFont="1" applyFill="1" applyBorder="1" applyAlignment="1">
      <alignment horizontal="justify" vertical="center" wrapText="1"/>
    </xf>
    <xf numFmtId="164" fontId="5" fillId="4" borderId="1" xfId="0" applyNumberFormat="1" applyFont="1" applyFill="1" applyBorder="1" applyAlignment="1">
      <alignment vertical="center"/>
    </xf>
    <xf numFmtId="164" fontId="13" fillId="4" borderId="1" xfId="1" applyNumberFormat="1" applyFont="1" applyFill="1" applyBorder="1" applyAlignment="1">
      <alignment horizontal="right" vertical="center"/>
    </xf>
    <xf numFmtId="0" fontId="13" fillId="4" borderId="1" xfId="0" applyFont="1" applyFill="1" applyBorder="1" applyAlignment="1">
      <alignment vertical="center"/>
    </xf>
    <xf numFmtId="0" fontId="13" fillId="4" borderId="1" xfId="0" applyFont="1" applyFill="1" applyBorder="1" applyAlignment="1">
      <alignment vertical="center" wrapText="1"/>
    </xf>
    <xf numFmtId="164" fontId="2" fillId="4" borderId="1" xfId="1" applyNumberFormat="1" applyFont="1" applyFill="1" applyBorder="1" applyAlignment="1">
      <alignment horizontal="justify" vertical="center" wrapText="1"/>
    </xf>
    <xf numFmtId="0" fontId="2" fillId="4" borderId="1" xfId="0" quotePrefix="1" applyFont="1" applyFill="1" applyBorder="1" applyAlignment="1">
      <alignment horizontal="center" vertical="center" wrapText="1"/>
    </xf>
    <xf numFmtId="49" fontId="6" fillId="4" borderId="1" xfId="0" quotePrefix="1" applyNumberFormat="1" applyFont="1" applyFill="1" applyBorder="1" applyAlignment="1">
      <alignment horizontal="justify" vertical="center" wrapText="1"/>
    </xf>
    <xf numFmtId="0" fontId="6" fillId="4" borderId="1" xfId="0" applyFont="1" applyFill="1" applyBorder="1" applyAlignment="1">
      <alignment horizontal="center" vertical="center" wrapText="1"/>
    </xf>
    <xf numFmtId="3" fontId="6" fillId="4" borderId="1" xfId="0" applyNumberFormat="1" applyFont="1" applyFill="1" applyBorder="1" applyAlignment="1">
      <alignment horizontal="center" vertical="center" wrapText="1"/>
    </xf>
    <xf numFmtId="164" fontId="3" fillId="4" borderId="1" xfId="0" quotePrefix="1" applyNumberFormat="1" applyFont="1" applyFill="1" applyBorder="1" applyAlignment="1">
      <alignment vertical="center" wrapText="1"/>
    </xf>
    <xf numFmtId="3" fontId="6" fillId="4" borderId="1" xfId="0" applyNumberFormat="1" applyFont="1" applyFill="1" applyBorder="1" applyAlignment="1">
      <alignment horizontal="right" vertical="center" wrapText="1"/>
    </xf>
    <xf numFmtId="0" fontId="32" fillId="0" borderId="1" xfId="0" applyFont="1" applyBorder="1" applyAlignment="1">
      <alignment horizontal="center" vertical="center" wrapText="1"/>
    </xf>
    <xf numFmtId="49" fontId="30" fillId="0" borderId="1" xfId="0" applyNumberFormat="1" applyFont="1" applyBorder="1" applyAlignment="1">
      <alignment horizontal="center" vertical="center" wrapText="1"/>
    </xf>
    <xf numFmtId="3" fontId="74" fillId="0" borderId="1" xfId="0" applyNumberFormat="1" applyFont="1" applyBorder="1" applyAlignment="1">
      <alignment horizontal="right" vertical="center"/>
    </xf>
    <xf numFmtId="0" fontId="30" fillId="0" borderId="1" xfId="0" applyFont="1" applyBorder="1" applyAlignment="1">
      <alignment horizontal="center" vertical="center"/>
    </xf>
    <xf numFmtId="0" fontId="30" fillId="0" borderId="1" xfId="0" applyFont="1" applyBorder="1" applyAlignment="1">
      <alignment vertical="center"/>
    </xf>
    <xf numFmtId="3" fontId="49" fillId="0" borderId="1" xfId="0" applyNumberFormat="1" applyFont="1" applyBorder="1" applyAlignment="1">
      <alignment horizontal="right" vertical="center"/>
    </xf>
    <xf numFmtId="164" fontId="49" fillId="0" borderId="1" xfId="1" applyNumberFormat="1" applyFont="1" applyFill="1" applyBorder="1" applyAlignment="1">
      <alignment horizontal="right" vertical="center"/>
    </xf>
    <xf numFmtId="0" fontId="0" fillId="0" borderId="1" xfId="0" applyBorder="1" applyAlignment="1">
      <alignment horizontal="center"/>
    </xf>
    <xf numFmtId="0" fontId="34" fillId="0" borderId="1" xfId="0" applyFont="1" applyBorder="1" applyAlignment="1">
      <alignment vertical="center"/>
    </xf>
    <xf numFmtId="0" fontId="34" fillId="0" borderId="1" xfId="0" applyFont="1" applyBorder="1" applyAlignment="1">
      <alignment horizontal="center" vertical="center"/>
    </xf>
    <xf numFmtId="0" fontId="28" fillId="0" borderId="1" xfId="0" applyFont="1" applyBorder="1"/>
    <xf numFmtId="164" fontId="6" fillId="0" borderId="1" xfId="1" applyNumberFormat="1" applyFont="1" applyFill="1" applyBorder="1" applyAlignment="1">
      <alignment horizontal="right" vertical="center"/>
    </xf>
    <xf numFmtId="164" fontId="27" fillId="0" borderId="0" xfId="1" applyNumberFormat="1" applyFont="1" applyFill="1"/>
    <xf numFmtId="164" fontId="0" fillId="0" borderId="0" xfId="0" applyNumberFormat="1"/>
    <xf numFmtId="0" fontId="32" fillId="0" borderId="1" xfId="0" applyFont="1" applyBorder="1" applyAlignment="1">
      <alignment horizontal="center"/>
    </xf>
    <xf numFmtId="0" fontId="32" fillId="0" borderId="1" xfId="0" applyFont="1" applyBorder="1"/>
    <xf numFmtId="0" fontId="35" fillId="0" borderId="1" xfId="0" applyFont="1" applyBorder="1"/>
    <xf numFmtId="164" fontId="35" fillId="0" borderId="1" xfId="1" applyNumberFormat="1" applyFont="1" applyFill="1" applyBorder="1"/>
    <xf numFmtId="164" fontId="32" fillId="0" borderId="1" xfId="1" applyNumberFormat="1" applyFont="1" applyFill="1" applyBorder="1"/>
    <xf numFmtId="0" fontId="35" fillId="0" borderId="1" xfId="0" applyFont="1" applyBorder="1" applyAlignment="1">
      <alignment horizontal="center"/>
    </xf>
    <xf numFmtId="164" fontId="32" fillId="0" borderId="1" xfId="1" applyNumberFormat="1" applyFont="1" applyBorder="1"/>
    <xf numFmtId="164" fontId="35" fillId="0" borderId="1" xfId="1" applyNumberFormat="1" applyFont="1" applyBorder="1"/>
    <xf numFmtId="164" fontId="32" fillId="0" borderId="1" xfId="0" applyNumberFormat="1" applyFont="1" applyBorder="1"/>
    <xf numFmtId="0" fontId="30" fillId="0" borderId="1" xfId="0" applyFont="1" applyBorder="1"/>
    <xf numFmtId="0" fontId="35" fillId="0" borderId="0" xfId="0" applyFont="1"/>
    <xf numFmtId="0" fontId="3" fillId="0" borderId="1" xfId="0" applyFont="1" applyBorder="1" applyAlignment="1">
      <alignment horizontal="center"/>
    </xf>
    <xf numFmtId="0" fontId="3" fillId="0" borderId="1" xfId="0" applyFont="1" applyBorder="1"/>
    <xf numFmtId="164" fontId="3" fillId="0" borderId="1" xfId="1" applyNumberFormat="1" applyFont="1" applyFill="1" applyBorder="1"/>
    <xf numFmtId="164" fontId="3" fillId="0" borderId="1" xfId="1" applyNumberFormat="1" applyFont="1" applyFill="1" applyBorder="1" applyAlignment="1">
      <alignment horizontal="right"/>
    </xf>
    <xf numFmtId="43" fontId="3" fillId="0" borderId="1" xfId="1" applyFont="1" applyFill="1" applyBorder="1"/>
    <xf numFmtId="0" fontId="37" fillId="0" borderId="0" xfId="0" applyFont="1"/>
    <xf numFmtId="43" fontId="35" fillId="0" borderId="0" xfId="1" applyFont="1" applyFill="1"/>
    <xf numFmtId="0" fontId="32" fillId="0" borderId="0" xfId="0" applyFont="1"/>
    <xf numFmtId="43" fontId="35" fillId="0" borderId="1" xfId="1" applyFont="1" applyFill="1" applyBorder="1"/>
    <xf numFmtId="0" fontId="0" fillId="0" borderId="2" xfId="0" applyBorder="1"/>
    <xf numFmtId="0" fontId="3" fillId="3"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75" fillId="0" borderId="0" xfId="0" applyFont="1"/>
    <xf numFmtId="3" fontId="74" fillId="6" borderId="1" xfId="0" applyNumberFormat="1" applyFont="1" applyFill="1" applyBorder="1" applyAlignment="1">
      <alignment horizontal="right" vertical="center"/>
    </xf>
    <xf numFmtId="49" fontId="6" fillId="6" borderId="1" xfId="0" quotePrefix="1" applyNumberFormat="1" applyFont="1" applyFill="1" applyBorder="1" applyAlignment="1">
      <alignment horizontal="justify" vertical="center" wrapText="1"/>
    </xf>
    <xf numFmtId="0" fontId="42" fillId="6" borderId="1" xfId="0" applyFont="1" applyFill="1" applyBorder="1" applyAlignment="1">
      <alignment vertical="center"/>
    </xf>
    <xf numFmtId="0" fontId="6" fillId="6" borderId="1" xfId="0" applyFont="1" applyFill="1" applyBorder="1" applyAlignment="1">
      <alignment horizontal="center" vertical="center" wrapText="1"/>
    </xf>
    <xf numFmtId="3" fontId="6" fillId="6" borderId="1" xfId="0" applyNumberFormat="1" applyFont="1" applyFill="1" applyBorder="1" applyAlignment="1">
      <alignment horizontal="right" vertical="center" wrapText="1"/>
    </xf>
    <xf numFmtId="164" fontId="3" fillId="6" borderId="1" xfId="1" applyNumberFormat="1" applyFont="1" applyFill="1" applyBorder="1" applyAlignment="1">
      <alignment horizontal="right" vertical="center"/>
    </xf>
    <xf numFmtId="164" fontId="3" fillId="6" borderId="1" xfId="0" applyNumberFormat="1" applyFont="1" applyFill="1" applyBorder="1" applyAlignment="1">
      <alignment horizontal="right" vertical="center" wrapText="1"/>
    </xf>
    <xf numFmtId="0" fontId="2" fillId="6" borderId="1" xfId="0" quotePrefix="1" applyFont="1" applyFill="1" applyBorder="1" applyAlignment="1">
      <alignment horizontal="center" vertical="center" wrapText="1"/>
    </xf>
    <xf numFmtId="3" fontId="6" fillId="6" borderId="1" xfId="0" applyNumberFormat="1" applyFont="1" applyFill="1" applyBorder="1" applyAlignment="1">
      <alignment horizontal="center" vertical="center" wrapText="1"/>
    </xf>
    <xf numFmtId="0" fontId="3" fillId="6" borderId="1" xfId="0" applyFont="1" applyFill="1" applyBorder="1" applyAlignment="1">
      <alignment vertical="center" wrapText="1"/>
    </xf>
    <xf numFmtId="0" fontId="42" fillId="6" borderId="0" xfId="0" applyFont="1" applyFill="1" applyAlignment="1">
      <alignment vertical="center"/>
    </xf>
    <xf numFmtId="0" fontId="0" fillId="6" borderId="0" xfId="0" applyFill="1"/>
    <xf numFmtId="0" fontId="32" fillId="0" borderId="1" xfId="0" applyFont="1" applyBorder="1" applyAlignment="1">
      <alignment horizontal="center" vertical="center" wrapText="1"/>
    </xf>
    <xf numFmtId="0" fontId="78" fillId="4" borderId="1" xfId="0" applyFont="1" applyFill="1" applyBorder="1" applyAlignment="1">
      <alignment vertical="center" wrapText="1"/>
    </xf>
    <xf numFmtId="0" fontId="68" fillId="4" borderId="1" xfId="0" applyFont="1" applyFill="1" applyBorder="1" applyAlignment="1">
      <alignment vertical="center" wrapText="1"/>
    </xf>
    <xf numFmtId="0" fontId="19" fillId="5" borderId="1" xfId="0" applyFont="1" applyFill="1" applyBorder="1" applyAlignment="1">
      <alignment horizontal="right" vertical="center" wrapText="1"/>
    </xf>
    <xf numFmtId="0" fontId="69" fillId="4" borderId="1" xfId="0" applyFont="1" applyFill="1" applyBorder="1" applyAlignment="1">
      <alignment horizontal="justify" vertical="center" wrapText="1"/>
    </xf>
    <xf numFmtId="0" fontId="78" fillId="4" borderId="1" xfId="0" applyFont="1" applyFill="1" applyBorder="1" applyAlignment="1">
      <alignment horizontal="justify" vertical="center" wrapText="1"/>
    </xf>
    <xf numFmtId="0" fontId="68" fillId="4" borderId="6" xfId="0" applyFont="1" applyFill="1" applyBorder="1" applyAlignment="1">
      <alignment vertical="center" wrapText="1"/>
    </xf>
    <xf numFmtId="0" fontId="79" fillId="4" borderId="1" xfId="0" applyFont="1" applyFill="1" applyBorder="1" applyAlignment="1">
      <alignment vertical="center" wrapText="1"/>
    </xf>
    <xf numFmtId="164" fontId="3" fillId="5" borderId="1" xfId="1" applyNumberFormat="1" applyFont="1" applyFill="1" applyBorder="1" applyAlignment="1">
      <alignment horizontal="right" vertical="center" wrapText="1"/>
    </xf>
    <xf numFmtId="0" fontId="80" fillId="4" borderId="1" xfId="0" applyFont="1" applyFill="1" applyBorder="1" applyAlignment="1">
      <alignment vertical="center" wrapText="1"/>
    </xf>
    <xf numFmtId="0" fontId="80" fillId="4" borderId="1" xfId="5" applyFont="1" applyFill="1" applyBorder="1" applyAlignment="1">
      <alignment horizontal="center" vertical="center"/>
    </xf>
    <xf numFmtId="164" fontId="80" fillId="4" borderId="1" xfId="1" applyNumberFormat="1" applyFont="1" applyFill="1" applyBorder="1" applyAlignment="1">
      <alignment horizontal="right" vertical="center"/>
    </xf>
    <xf numFmtId="0" fontId="80" fillId="4" borderId="1" xfId="0" applyFont="1" applyFill="1" applyBorder="1" applyAlignment="1">
      <alignment vertical="center"/>
    </xf>
    <xf numFmtId="164" fontId="80" fillId="4" borderId="1" xfId="1" applyNumberFormat="1" applyFont="1" applyFill="1" applyBorder="1" applyAlignment="1">
      <alignment horizontal="justify" vertical="center" wrapText="1"/>
    </xf>
    <xf numFmtId="164" fontId="3" fillId="5" borderId="1" xfId="1" applyNumberFormat="1" applyFont="1" applyFill="1" applyBorder="1" applyAlignment="1">
      <alignment horizontal="right" vertical="center"/>
    </xf>
    <xf numFmtId="3" fontId="6" fillId="5" borderId="1" xfId="0" applyNumberFormat="1" applyFont="1" applyFill="1" applyBorder="1" applyAlignment="1">
      <alignment horizontal="right" vertical="center" wrapText="1"/>
    </xf>
    <xf numFmtId="0" fontId="35" fillId="0" borderId="1" xfId="0" applyFont="1" applyFill="1" applyBorder="1"/>
    <xf numFmtId="0" fontId="79" fillId="0" borderId="1" xfId="0" applyFont="1" applyBorder="1"/>
    <xf numFmtId="0" fontId="42" fillId="0" borderId="0" xfId="0" applyFont="1" applyFill="1" applyAlignment="1">
      <alignment vertical="center"/>
    </xf>
    <xf numFmtId="164" fontId="81" fillId="4" borderId="2" xfId="0" applyNumberFormat="1" applyFont="1" applyFill="1" applyBorder="1" applyAlignment="1">
      <alignment vertical="center" wrapText="1"/>
    </xf>
    <xf numFmtId="0" fontId="69" fillId="4" borderId="1" xfId="0" applyFont="1" applyFill="1" applyBorder="1" applyAlignment="1">
      <alignment vertical="center" wrapText="1"/>
    </xf>
    <xf numFmtId="164" fontId="19" fillId="0" borderId="1" xfId="1" applyNumberFormat="1" applyFont="1" applyFill="1" applyBorder="1" applyAlignment="1">
      <alignment horizontal="right" vertical="center" wrapText="1"/>
    </xf>
    <xf numFmtId="0" fontId="2" fillId="0" borderId="1" xfId="0" quotePrefix="1" applyFont="1" applyFill="1" applyBorder="1" applyAlignment="1">
      <alignment horizontal="center" vertical="center" wrapText="1"/>
    </xf>
    <xf numFmtId="0" fontId="2" fillId="0" borderId="1" xfId="0" applyFont="1" applyFill="1" applyBorder="1" applyAlignment="1">
      <alignment vertical="center" wrapText="1"/>
    </xf>
    <xf numFmtId="3" fontId="2" fillId="0" borderId="1" xfId="0" applyNumberFormat="1" applyFont="1" applyFill="1" applyBorder="1" applyAlignment="1">
      <alignment horizontal="left" vertical="center"/>
    </xf>
    <xf numFmtId="0" fontId="0" fillId="0" borderId="0" xfId="0" applyFill="1"/>
    <xf numFmtId="0" fontId="9" fillId="0" borderId="0" xfId="0" applyFont="1" applyAlignment="1">
      <alignment horizontal="center" vertical="center" wrapText="1"/>
    </xf>
    <xf numFmtId="0" fontId="0" fillId="0" borderId="0" xfId="0" applyAlignment="1">
      <alignment horizontal="center"/>
    </xf>
    <xf numFmtId="0" fontId="2" fillId="0" borderId="1" xfId="0" applyFont="1" applyBorder="1" applyAlignment="1">
      <alignment horizontal="center" vertical="center" wrapText="1"/>
    </xf>
    <xf numFmtId="3" fontId="2" fillId="0" borderId="4" xfId="0" applyNumberFormat="1" applyFont="1" applyBorder="1" applyAlignment="1">
      <alignment horizontal="left" vertical="center" wrapText="1"/>
    </xf>
    <xf numFmtId="3" fontId="2" fillId="0" borderId="8" xfId="0" applyNumberFormat="1" applyFont="1" applyBorder="1" applyAlignment="1">
      <alignment horizontal="left" vertical="center" wrapText="1"/>
    </xf>
    <xf numFmtId="3" fontId="2" fillId="0" borderId="6" xfId="0" applyNumberFormat="1" applyFont="1" applyBorder="1" applyAlignment="1">
      <alignment horizontal="left" vertical="center" wrapText="1"/>
    </xf>
    <xf numFmtId="3" fontId="2" fillId="0" borderId="1" xfId="0" applyNumberFormat="1" applyFont="1" applyBorder="1" applyAlignment="1">
      <alignment horizontal="left" vertical="center" wrapText="1"/>
    </xf>
    <xf numFmtId="0" fontId="19" fillId="0" borderId="0" xfId="0" applyFont="1" applyAlignment="1">
      <alignment horizontal="left" vertical="center" wrapText="1"/>
    </xf>
    <xf numFmtId="3" fontId="2" fillId="0" borderId="5" xfId="0" applyNumberFormat="1"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9" fillId="4" borderId="0" xfId="0" applyFont="1" applyFill="1" applyAlignment="1">
      <alignment horizontal="center" vertical="center" wrapText="1"/>
    </xf>
    <xf numFmtId="0" fontId="18" fillId="4" borderId="1" xfId="0" applyFont="1" applyFill="1" applyBorder="1" applyAlignment="1">
      <alignment horizontal="center" vertical="center" wrapText="1"/>
    </xf>
    <xf numFmtId="0" fontId="6" fillId="4" borderId="3" xfId="0" applyFont="1" applyFill="1" applyBorder="1" applyAlignment="1">
      <alignment horizontal="right" vertical="center" wrapText="1"/>
    </xf>
    <xf numFmtId="0" fontId="9" fillId="4" borderId="1" xfId="0" applyFont="1" applyFill="1" applyBorder="1" applyAlignment="1">
      <alignment horizontal="center" vertical="center" wrapText="1"/>
    </xf>
    <xf numFmtId="0" fontId="11" fillId="4" borderId="0" xfId="0" applyFont="1" applyFill="1" applyAlignment="1">
      <alignment horizontal="center" vertical="center" wrapText="1"/>
    </xf>
    <xf numFmtId="0" fontId="76" fillId="0" borderId="0" xfId="0" applyFont="1" applyAlignment="1">
      <alignment horizontal="center"/>
    </xf>
    <xf numFmtId="0" fontId="33" fillId="0" borderId="1" xfId="0" applyFont="1" applyBorder="1" applyAlignment="1">
      <alignment horizontal="center" vertical="center" wrapText="1"/>
    </xf>
    <xf numFmtId="0" fontId="55" fillId="0" borderId="1" xfId="0" applyFont="1" applyBorder="1" applyAlignment="1">
      <alignment horizontal="center" vertical="center" wrapText="1"/>
    </xf>
    <xf numFmtId="0" fontId="54" fillId="0" borderId="1" xfId="0" applyFont="1" applyBorder="1" applyAlignment="1">
      <alignment horizontal="center" vertical="center" wrapText="1"/>
    </xf>
    <xf numFmtId="0" fontId="51" fillId="0" borderId="1" xfId="0" applyFont="1" applyBorder="1" applyAlignment="1">
      <alignment horizontal="center" wrapText="1"/>
    </xf>
    <xf numFmtId="0" fontId="18" fillId="0" borderId="9" xfId="0" applyFont="1" applyBorder="1" applyAlignment="1">
      <alignment horizontal="left" vertical="center" indent="2"/>
    </xf>
    <xf numFmtId="0" fontId="18" fillId="0" borderId="10" xfId="0" applyFont="1" applyBorder="1" applyAlignment="1">
      <alignment horizontal="left" vertical="center" indent="2"/>
    </xf>
    <xf numFmtId="0" fontId="18" fillId="0" borderId="2" xfId="0" applyFont="1" applyBorder="1" applyAlignment="1">
      <alignment horizontal="left" vertical="center" indent="2"/>
    </xf>
    <xf numFmtId="0" fontId="13" fillId="4" borderId="0" xfId="0" applyFont="1" applyFill="1" applyAlignment="1">
      <alignment horizontal="center" vertical="center" wrapText="1"/>
    </xf>
    <xf numFmtId="0" fontId="33" fillId="0" borderId="1" xfId="0" applyFont="1" applyBorder="1" applyAlignment="1">
      <alignment horizontal="center" vertical="center"/>
    </xf>
    <xf numFmtId="0" fontId="19" fillId="0" borderId="4" xfId="0" quotePrefix="1" applyFont="1" applyBorder="1" applyAlignment="1">
      <alignment horizontal="center" vertical="center" wrapText="1"/>
    </xf>
    <xf numFmtId="0" fontId="19" fillId="0" borderId="8" xfId="0" quotePrefix="1" applyFont="1" applyBorder="1" applyAlignment="1">
      <alignment horizontal="center" vertical="center" wrapText="1"/>
    </xf>
    <xf numFmtId="0" fontId="19" fillId="0" borderId="6" xfId="0" quotePrefix="1" applyFont="1" applyBorder="1" applyAlignment="1">
      <alignment horizontal="center" vertical="center" wrapText="1"/>
    </xf>
    <xf numFmtId="0" fontId="51" fillId="0" borderId="1" xfId="0" applyFont="1" applyBorder="1" applyAlignment="1">
      <alignment horizontal="center" vertical="center"/>
    </xf>
    <xf numFmtId="0" fontId="9" fillId="0" borderId="2" xfId="4" applyFont="1" applyBorder="1" applyAlignment="1">
      <alignment horizontal="center" vertical="center" wrapText="1"/>
    </xf>
    <xf numFmtId="0" fontId="3" fillId="4"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54" fillId="3" borderId="1" xfId="0" applyFont="1" applyFill="1" applyBorder="1" applyAlignment="1">
      <alignment horizontal="center" vertical="center" wrapText="1"/>
    </xf>
    <xf numFmtId="0" fontId="54" fillId="3" borderId="1" xfId="0" applyFont="1" applyFill="1" applyBorder="1" applyAlignment="1">
      <alignment horizontal="center" vertical="center"/>
    </xf>
    <xf numFmtId="0" fontId="35" fillId="0" borderId="0" xfId="0" applyFont="1" applyAlignment="1">
      <alignment horizontal="center" vertical="center" wrapText="1"/>
    </xf>
    <xf numFmtId="0" fontId="34" fillId="0" borderId="0" xfId="0" applyFont="1" applyAlignment="1">
      <alignment horizontal="center"/>
    </xf>
    <xf numFmtId="0" fontId="75" fillId="0" borderId="0" xfId="0" applyFont="1" applyAlignment="1">
      <alignment horizontal="center" wrapText="1"/>
    </xf>
    <xf numFmtId="0" fontId="32" fillId="0" borderId="0" xfId="0" applyFont="1" applyAlignment="1">
      <alignment horizontal="center"/>
    </xf>
    <xf numFmtId="0" fontId="34"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9" fillId="0" borderId="0" xfId="0" applyFont="1" applyAlignment="1">
      <alignment horizontal="center" vertical="center"/>
    </xf>
    <xf numFmtId="0" fontId="30" fillId="0" borderId="0" xfId="0" applyFont="1" applyAlignment="1">
      <alignment horizontal="center" vertical="center"/>
    </xf>
    <xf numFmtId="0" fontId="62" fillId="0" borderId="0" xfId="0" applyFont="1" applyAlignment="1">
      <alignment horizontal="center"/>
    </xf>
    <xf numFmtId="0" fontId="62" fillId="0" borderId="4" xfId="0" applyFont="1" applyBorder="1" applyAlignment="1">
      <alignment horizontal="center" vertical="center" wrapText="1"/>
    </xf>
    <xf numFmtId="0" fontId="62" fillId="0" borderId="6" xfId="0" applyFont="1" applyBorder="1" applyAlignment="1">
      <alignment horizontal="center" vertical="center" wrapText="1"/>
    </xf>
    <xf numFmtId="0" fontId="62" fillId="0" borderId="9" xfId="0" applyFont="1" applyBorder="1" applyAlignment="1">
      <alignment horizontal="center" vertical="center"/>
    </xf>
    <xf numFmtId="0" fontId="62" fillId="0" borderId="10" xfId="0" applyFont="1" applyBorder="1" applyAlignment="1">
      <alignment horizontal="center" vertical="center"/>
    </xf>
    <xf numFmtId="0" fontId="62" fillId="0" borderId="2" xfId="0" applyFont="1" applyBorder="1" applyAlignment="1">
      <alignment horizontal="center" vertical="center"/>
    </xf>
    <xf numFmtId="0" fontId="62" fillId="0" borderId="4" xfId="0" applyFont="1" applyBorder="1" applyAlignment="1">
      <alignment horizontal="center" vertical="center"/>
    </xf>
    <xf numFmtId="0" fontId="62" fillId="0" borderId="6" xfId="0" applyFont="1" applyBorder="1" applyAlignment="1">
      <alignment horizontal="center" vertical="center"/>
    </xf>
    <xf numFmtId="0" fontId="62" fillId="0" borderId="9" xfId="0" applyFont="1" applyBorder="1" applyAlignment="1">
      <alignment horizontal="center"/>
    </xf>
    <xf numFmtId="0" fontId="62" fillId="0" borderId="10" xfId="0" applyFont="1" applyBorder="1" applyAlignment="1">
      <alignment horizontal="center"/>
    </xf>
    <xf numFmtId="0" fontId="32" fillId="0" borderId="1" xfId="0" applyFont="1" applyBorder="1" applyAlignment="1">
      <alignment horizontal="center" vertical="center" wrapText="1"/>
    </xf>
    <xf numFmtId="0" fontId="28" fillId="0" borderId="11" xfId="0" applyFont="1" applyBorder="1" applyAlignment="1">
      <alignment horizontal="center" vertical="center"/>
    </xf>
    <xf numFmtId="0" fontId="28" fillId="0" borderId="12" xfId="0" applyFont="1" applyBorder="1" applyAlignment="1">
      <alignment horizontal="center" vertical="center"/>
    </xf>
    <xf numFmtId="0" fontId="28" fillId="0" borderId="4" xfId="0" applyFont="1" applyBorder="1" applyAlignment="1">
      <alignment horizontal="center" vertical="center"/>
    </xf>
    <xf numFmtId="0" fontId="28" fillId="0" borderId="6" xfId="0" applyFont="1" applyBorder="1" applyAlignment="1">
      <alignment horizontal="center" vertical="center"/>
    </xf>
    <xf numFmtId="3" fontId="2" fillId="0" borderId="1" xfId="0" applyNumberFormat="1" applyFont="1" applyFill="1" applyBorder="1" applyAlignment="1">
      <alignment horizontal="right" vertical="center"/>
    </xf>
    <xf numFmtId="164" fontId="2" fillId="0" borderId="1" xfId="0" applyNumberFormat="1" applyFont="1" applyFill="1" applyBorder="1" applyAlignment="1">
      <alignment vertical="center" wrapText="1"/>
    </xf>
  </cellXfs>
  <cellStyles count="7">
    <cellStyle name="Comma" xfId="1" builtinId="3"/>
    <cellStyle name="Comma 2" xfId="2"/>
    <cellStyle name="Comma 2 2" xfId="3"/>
    <cellStyle name="Normal" xfId="0" builtinId="0"/>
    <cellStyle name="Normal 10 2_KhaiToanKinhPhi-9.1" xfId="4"/>
    <cellStyle name="Normal 3 2" xfId="5"/>
    <cellStyle name="Normal 61" xfId="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N36"/>
  <sheetViews>
    <sheetView tabSelected="1" workbookViewId="0">
      <selection activeCell="E20" sqref="E20"/>
    </sheetView>
  </sheetViews>
  <sheetFormatPr defaultRowHeight="15" x14ac:dyDescent="0.25"/>
  <cols>
    <col min="1" max="1" width="5" customWidth="1"/>
    <col min="2" max="2" width="50.42578125" customWidth="1"/>
    <col min="3" max="3" width="21.42578125" hidden="1" customWidth="1"/>
    <col min="4" max="4" width="16.42578125" customWidth="1"/>
    <col min="5" max="5" width="15.42578125" customWidth="1"/>
    <col min="6" max="6" width="16.85546875" customWidth="1"/>
    <col min="7" max="7" width="20.5703125" customWidth="1"/>
    <col min="8" max="8" width="21.140625" customWidth="1"/>
    <col min="9" max="9" width="21.5703125" hidden="1" customWidth="1"/>
  </cols>
  <sheetData>
    <row r="1" spans="1:9" ht="49.5" customHeight="1" x14ac:dyDescent="0.25">
      <c r="A1" s="460" t="s">
        <v>539</v>
      </c>
      <c r="B1" s="460"/>
      <c r="C1" s="460"/>
      <c r="D1" s="460"/>
      <c r="E1" s="460"/>
      <c r="F1" s="460"/>
      <c r="G1" s="460"/>
    </row>
    <row r="2" spans="1:9" x14ac:dyDescent="0.25">
      <c r="A2" s="110"/>
      <c r="B2" s="110"/>
      <c r="C2" s="110"/>
      <c r="E2" s="139"/>
      <c r="F2" s="140" t="s">
        <v>176</v>
      </c>
      <c r="G2" s="139"/>
    </row>
    <row r="3" spans="1:9" ht="15" customHeight="1" x14ac:dyDescent="0.25">
      <c r="A3" s="462" t="s">
        <v>0</v>
      </c>
      <c r="B3" s="462" t="s">
        <v>1</v>
      </c>
      <c r="C3" s="469"/>
      <c r="D3" s="462" t="s">
        <v>227</v>
      </c>
      <c r="E3" s="462" t="s">
        <v>183</v>
      </c>
      <c r="F3" s="462" t="s">
        <v>184</v>
      </c>
      <c r="G3" s="462" t="s">
        <v>111</v>
      </c>
    </row>
    <row r="4" spans="1:9" x14ac:dyDescent="0.25">
      <c r="A4" s="462"/>
      <c r="B4" s="462"/>
      <c r="C4" s="470"/>
      <c r="D4" s="462"/>
      <c r="E4" s="462"/>
      <c r="F4" s="462"/>
      <c r="G4" s="462"/>
    </row>
    <row r="5" spans="1:9" x14ac:dyDescent="0.25">
      <c r="A5" s="121" t="s">
        <v>12</v>
      </c>
      <c r="B5" s="122" t="s">
        <v>185</v>
      </c>
      <c r="C5" s="122"/>
      <c r="D5" s="123">
        <f>D6+D17+D18+D19+D20+D21</f>
        <v>25219367521.647678</v>
      </c>
      <c r="E5" s="123">
        <f>D5*10%</f>
        <v>2521936752.1647677</v>
      </c>
      <c r="F5" s="123">
        <f>D5+E5</f>
        <v>27741304273.812447</v>
      </c>
      <c r="G5" s="123"/>
    </row>
    <row r="6" spans="1:9" x14ac:dyDescent="0.25">
      <c r="A6" s="121">
        <v>1</v>
      </c>
      <c r="B6" s="122" t="s">
        <v>11</v>
      </c>
      <c r="C6" s="122"/>
      <c r="D6" s="124">
        <f>D7+D14</f>
        <v>7324173521.6476793</v>
      </c>
      <c r="E6" s="123">
        <f t="shared" ref="E6:E21" si="0">D6*10%</f>
        <v>732417352.16476798</v>
      </c>
      <c r="F6" s="123">
        <f t="shared" ref="F6:F26" si="1">D6+E6</f>
        <v>8056590873.8124475</v>
      </c>
      <c r="G6" s="125"/>
    </row>
    <row r="7" spans="1:9" x14ac:dyDescent="0.25">
      <c r="A7" s="126" t="s">
        <v>13</v>
      </c>
      <c r="B7" s="127" t="s">
        <v>179</v>
      </c>
      <c r="C7" s="127"/>
      <c r="D7" s="125">
        <f>SUM(D8:D13)</f>
        <v>6355804521.0811796</v>
      </c>
      <c r="E7" s="123">
        <f t="shared" si="0"/>
        <v>635580452.10811794</v>
      </c>
      <c r="F7" s="123">
        <f t="shared" si="1"/>
        <v>6991384973.1892977</v>
      </c>
      <c r="G7" s="466" t="s">
        <v>271</v>
      </c>
    </row>
    <row r="8" spans="1:9" x14ac:dyDescent="0.25">
      <c r="A8" s="2" t="s">
        <v>145</v>
      </c>
      <c r="B8" s="128" t="str">
        <f>'Biểu 01'!B8</f>
        <v xml:space="preserve">Thu thập thông tin, tài liệu, số liệu, bản đồ </v>
      </c>
      <c r="C8" s="128"/>
      <c r="D8" s="129">
        <f>'Biểu 01'!Y8</f>
        <v>396084302.7761246</v>
      </c>
      <c r="E8" s="123">
        <f t="shared" si="0"/>
        <v>39608430.277612463</v>
      </c>
      <c r="F8" s="123">
        <f t="shared" si="1"/>
        <v>435692733.05373704</v>
      </c>
      <c r="G8" s="466"/>
      <c r="H8" s="135"/>
      <c r="I8" s="461"/>
    </row>
    <row r="9" spans="1:9" x14ac:dyDescent="0.25">
      <c r="A9" s="2" t="s">
        <v>146</v>
      </c>
      <c r="B9" s="128" t="str">
        <f>'Biểu 01'!B16</f>
        <v xml:space="preserve">Lập kế hoạch và điều tra lấy mẫu đất tại thực địa  </v>
      </c>
      <c r="C9" s="128"/>
      <c r="D9" s="129">
        <f>'Biểu 01'!Y16</f>
        <v>1902447658.4243269</v>
      </c>
      <c r="E9" s="123">
        <f t="shared" si="0"/>
        <v>190244765.84243271</v>
      </c>
      <c r="F9" s="123">
        <f t="shared" si="1"/>
        <v>2092692424.2667596</v>
      </c>
      <c r="G9" s="466"/>
      <c r="H9" s="135"/>
      <c r="I9" s="461"/>
    </row>
    <row r="10" spans="1:9" x14ac:dyDescent="0.25">
      <c r="A10" s="2" t="s">
        <v>147</v>
      </c>
      <c r="B10" s="128" t="str">
        <f>'Biểu 01'!B33</f>
        <v>Tổng hợp, xử lý thông tin nội nghiệp và ngoại nghiệp</v>
      </c>
      <c r="C10" s="128"/>
      <c r="D10" s="129">
        <f>'Biểu 01'!Y33</f>
        <v>652191686.45240009</v>
      </c>
      <c r="E10" s="123">
        <f t="shared" si="0"/>
        <v>65219168.645240009</v>
      </c>
      <c r="F10" s="123">
        <f t="shared" si="1"/>
        <v>717410855.09764004</v>
      </c>
      <c r="G10" s="466"/>
      <c r="H10" s="135"/>
      <c r="I10" s="461"/>
    </row>
    <row r="11" spans="1:9" ht="30" x14ac:dyDescent="0.25">
      <c r="A11" s="2" t="s">
        <v>148</v>
      </c>
      <c r="B11" s="128" t="str">
        <f>'Biểu 01'!B40</f>
        <v>Xây dựng bản đồ nông hóa cho 16 huyện, thị xã, thành phố và tách thành bản đồ nông hóa cấp huyện và cấp xã</v>
      </c>
      <c r="C11" s="128"/>
      <c r="D11" s="129">
        <f>'Biểu 01'!Y40</f>
        <v>1699830733.7504709</v>
      </c>
      <c r="E11" s="123">
        <f t="shared" si="0"/>
        <v>169983073.37504709</v>
      </c>
      <c r="F11" s="123">
        <f t="shared" si="1"/>
        <v>1869813807.1255178</v>
      </c>
      <c r="G11" s="466"/>
      <c r="H11" s="260"/>
    </row>
    <row r="12" spans="1:9" ht="45" x14ac:dyDescent="0.25">
      <c r="A12" s="2" t="s">
        <v>149</v>
      </c>
      <c r="B12" s="128" t="str">
        <f>'Biểu 01'!B56</f>
        <v>Đánh giá mức độ thích hợp đất đai, đề xuất phương án sử dụng đất sản xuất nông nghiệp đạt hiệu quả cao cho 16 huyện, thị xã, thành phố</v>
      </c>
      <c r="C12" s="128"/>
      <c r="D12" s="129">
        <f>'Biểu 01'!Y56</f>
        <v>1610253878.1555467</v>
      </c>
      <c r="E12" s="123">
        <f t="shared" si="0"/>
        <v>161025387.81555468</v>
      </c>
      <c r="F12" s="123">
        <f t="shared" si="1"/>
        <v>1771279265.9711013</v>
      </c>
      <c r="G12" s="466"/>
      <c r="H12" s="135"/>
    </row>
    <row r="13" spans="1:9" ht="19.5" customHeight="1" x14ac:dyDescent="0.25">
      <c r="A13" s="2" t="s">
        <v>150</v>
      </c>
      <c r="B13" s="128" t="str">
        <f>'Biểu 01'!B98</f>
        <v>Xây dựng báo cáo tổng hợp và báo cáo tổng kết nhiệm vụ</v>
      </c>
      <c r="C13" s="128"/>
      <c r="D13" s="129">
        <f>'Biểu 01'!Y98</f>
        <v>94996261.522311583</v>
      </c>
      <c r="E13" s="123">
        <f t="shared" si="0"/>
        <v>9499626.1522311587</v>
      </c>
      <c r="F13" s="123">
        <f t="shared" si="1"/>
        <v>104495887.67454274</v>
      </c>
      <c r="G13" s="466"/>
      <c r="H13" s="135"/>
    </row>
    <row r="14" spans="1:9" s="57" customFormat="1" ht="27" customHeight="1" x14ac:dyDescent="0.25">
      <c r="A14" s="126" t="s">
        <v>14</v>
      </c>
      <c r="B14" s="127" t="s">
        <v>180</v>
      </c>
      <c r="C14" s="127"/>
      <c r="D14" s="130">
        <f>'Biểu 02'!AH7</f>
        <v>968369000.56650007</v>
      </c>
      <c r="E14" s="123">
        <f t="shared" si="0"/>
        <v>96836900.056650013</v>
      </c>
      <c r="F14" s="123">
        <f t="shared" si="1"/>
        <v>1065205900.6231501</v>
      </c>
      <c r="G14" s="267" t="s">
        <v>272</v>
      </c>
    </row>
    <row r="15" spans="1:9" ht="30" hidden="1" x14ac:dyDescent="0.25">
      <c r="A15" s="2" t="s">
        <v>145</v>
      </c>
      <c r="B15" s="128" t="s">
        <v>548</v>
      </c>
      <c r="C15" s="128"/>
      <c r="D15" s="129">
        <f>'Biểu 02'!AH7</f>
        <v>968369000.56650007</v>
      </c>
      <c r="E15" s="123">
        <f t="shared" si="0"/>
        <v>96836900.056650013</v>
      </c>
      <c r="F15" s="123">
        <f t="shared" si="1"/>
        <v>1065205900.6231501</v>
      </c>
      <c r="G15" s="267" t="s">
        <v>272</v>
      </c>
    </row>
    <row r="16" spans="1:9" ht="30" hidden="1" x14ac:dyDescent="0.25">
      <c r="A16" s="2" t="s">
        <v>146</v>
      </c>
      <c r="B16" s="225" t="s">
        <v>35</v>
      </c>
      <c r="C16" s="225"/>
      <c r="D16" s="226"/>
      <c r="E16" s="123">
        <f t="shared" si="0"/>
        <v>0</v>
      </c>
      <c r="F16" s="123">
        <f t="shared" si="1"/>
        <v>0</v>
      </c>
      <c r="G16" s="227" t="s">
        <v>252</v>
      </c>
    </row>
    <row r="17" spans="1:14" ht="15" customHeight="1" x14ac:dyDescent="0.25">
      <c r="A17" s="131">
        <v>2</v>
      </c>
      <c r="B17" s="122" t="str">
        <f>'Biểu 03'!B4</f>
        <v>Thuê xe đi điều tra khảo sát và Công tác phí</v>
      </c>
      <c r="C17" s="122"/>
      <c r="D17" s="132">
        <f>'Biểu 03'!J4</f>
        <v>2233600000</v>
      </c>
      <c r="E17" s="123">
        <f t="shared" si="0"/>
        <v>223360000</v>
      </c>
      <c r="F17" s="123">
        <f t="shared" si="1"/>
        <v>2456960000</v>
      </c>
      <c r="G17" s="463" t="s">
        <v>551</v>
      </c>
    </row>
    <row r="18" spans="1:14" x14ac:dyDescent="0.25">
      <c r="A18" s="131">
        <v>3</v>
      </c>
      <c r="B18" s="122" t="s">
        <v>158</v>
      </c>
      <c r="C18" s="122"/>
      <c r="D18" s="132">
        <f>'Biểu 03'!J13</f>
        <v>15211134000</v>
      </c>
      <c r="E18" s="123">
        <f t="shared" si="0"/>
        <v>1521113400</v>
      </c>
      <c r="F18" s="123">
        <f t="shared" si="1"/>
        <v>16732247400</v>
      </c>
      <c r="G18" s="464"/>
    </row>
    <row r="19" spans="1:14" x14ac:dyDescent="0.25">
      <c r="A19" s="131">
        <v>4</v>
      </c>
      <c r="B19" s="122" t="s">
        <v>178</v>
      </c>
      <c r="C19" s="122"/>
      <c r="D19" s="132">
        <f>'Biểu 03'!J32</f>
        <v>364850000</v>
      </c>
      <c r="E19" s="123">
        <f t="shared" si="0"/>
        <v>36485000</v>
      </c>
      <c r="F19" s="123">
        <f t="shared" si="1"/>
        <v>401335000</v>
      </c>
      <c r="G19" s="464"/>
    </row>
    <row r="20" spans="1:14" ht="28.5" x14ac:dyDescent="0.25">
      <c r="A20" s="121">
        <v>5</v>
      </c>
      <c r="B20" s="122" t="s">
        <v>182</v>
      </c>
      <c r="C20" s="122"/>
      <c r="D20" s="133">
        <f>'Biểu 03'!J86</f>
        <v>47900000</v>
      </c>
      <c r="E20" s="123">
        <f t="shared" si="0"/>
        <v>4790000</v>
      </c>
      <c r="F20" s="123">
        <f t="shared" si="1"/>
        <v>52690000</v>
      </c>
      <c r="G20" s="464"/>
    </row>
    <row r="21" spans="1:14" x14ac:dyDescent="0.25">
      <c r="A21" s="121">
        <v>6</v>
      </c>
      <c r="B21" s="122" t="s">
        <v>679</v>
      </c>
      <c r="C21" s="122"/>
      <c r="D21" s="133">
        <f>'Biểu 03'!J102</f>
        <v>37710000</v>
      </c>
      <c r="E21" s="123">
        <f t="shared" si="0"/>
        <v>3771000</v>
      </c>
      <c r="F21" s="123">
        <f t="shared" si="1"/>
        <v>41481000</v>
      </c>
      <c r="G21" s="465"/>
    </row>
    <row r="22" spans="1:14" x14ac:dyDescent="0.25">
      <c r="A22" s="121" t="s">
        <v>18</v>
      </c>
      <c r="B22" s="122" t="s">
        <v>68</v>
      </c>
      <c r="C22" s="122"/>
      <c r="D22" s="124">
        <f>D23+D24+D25+D26</f>
        <v>475058958.83242929</v>
      </c>
      <c r="E22" s="124">
        <f>SUM(E23:E28)</f>
        <v>14450023.009276208</v>
      </c>
      <c r="F22" s="123">
        <f t="shared" si="1"/>
        <v>489508981.8417055</v>
      </c>
      <c r="G22" s="124"/>
    </row>
    <row r="23" spans="1:14" x14ac:dyDescent="0.25">
      <c r="A23" s="121">
        <v>1</v>
      </c>
      <c r="B23" s="122" t="s">
        <v>681</v>
      </c>
      <c r="C23" s="122"/>
      <c r="D23" s="133">
        <f>D5*0.45%*0.5</f>
        <v>56743576.923707284</v>
      </c>
      <c r="E23" s="133">
        <f>D23*8/100</f>
        <v>4539486.1538965823</v>
      </c>
      <c r="F23" s="123">
        <f t="shared" si="1"/>
        <v>61283063.077603869</v>
      </c>
      <c r="G23" s="143"/>
      <c r="H23">
        <f>D23*0.8/100</f>
        <v>453948.61538965831</v>
      </c>
      <c r="J23">
        <f>E22/F22*100</f>
        <v>2.9519423637356197</v>
      </c>
      <c r="K23" s="396">
        <f>F23/D23*100</f>
        <v>108</v>
      </c>
    </row>
    <row r="24" spans="1:14" ht="18.75" customHeight="1" x14ac:dyDescent="0.25">
      <c r="A24" s="121">
        <v>2</v>
      </c>
      <c r="B24" s="122" t="s">
        <v>810</v>
      </c>
      <c r="C24" s="122"/>
      <c r="D24" s="133">
        <v>42240000</v>
      </c>
      <c r="E24" s="133"/>
      <c r="F24" s="123">
        <f t="shared" si="1"/>
        <v>42240000</v>
      </c>
      <c r="G24" s="143"/>
    </row>
    <row r="25" spans="1:14" x14ac:dyDescent="0.25">
      <c r="A25" s="121">
        <v>3</v>
      </c>
      <c r="B25" s="122" t="s">
        <v>680</v>
      </c>
      <c r="C25" s="122"/>
      <c r="D25" s="133">
        <f>D5*1%</f>
        <v>252193675.2164768</v>
      </c>
      <c r="E25" s="133"/>
      <c r="F25" s="123">
        <f t="shared" si="1"/>
        <v>252193675.2164768</v>
      </c>
      <c r="G25" s="143"/>
    </row>
    <row r="26" spans="1:14" x14ac:dyDescent="0.25">
      <c r="A26" s="121">
        <v>4</v>
      </c>
      <c r="B26" s="122" t="s">
        <v>270</v>
      </c>
      <c r="C26" s="122"/>
      <c r="D26" s="133">
        <f>D27+D28</f>
        <v>123881706.69224527</v>
      </c>
      <c r="E26" s="133"/>
      <c r="F26" s="123">
        <f t="shared" si="1"/>
        <v>123881706.69224527</v>
      </c>
      <c r="G26" s="122"/>
    </row>
    <row r="27" spans="1:14" x14ac:dyDescent="0.25">
      <c r="A27" s="363" t="s">
        <v>131</v>
      </c>
      <c r="B27" s="122" t="s">
        <v>811</v>
      </c>
      <c r="C27" s="122"/>
      <c r="D27" s="133">
        <v>72508921</v>
      </c>
      <c r="E27" s="133">
        <v>5800714</v>
      </c>
      <c r="F27" s="123">
        <v>78309635</v>
      </c>
      <c r="G27" s="143"/>
      <c r="H27" s="396">
        <f>F27*0.8/100</f>
        <v>626477.07999999996</v>
      </c>
    </row>
    <row r="28" spans="1:14" s="459" customFormat="1" ht="28.5" x14ac:dyDescent="0.25">
      <c r="A28" s="456" t="s">
        <v>131</v>
      </c>
      <c r="B28" s="457" t="s">
        <v>812</v>
      </c>
      <c r="C28" s="457"/>
      <c r="D28" s="520">
        <f>F28/1.08</f>
        <v>51372785.692245267</v>
      </c>
      <c r="E28" s="520">
        <f>F28-D28</f>
        <v>4109822.8553796262</v>
      </c>
      <c r="F28" s="521">
        <f>F5*0.1*2/100</f>
        <v>55482608.547624893</v>
      </c>
      <c r="G28" s="458"/>
    </row>
    <row r="29" spans="1:14" x14ac:dyDescent="0.25">
      <c r="A29" s="128"/>
      <c r="B29" s="121" t="s">
        <v>177</v>
      </c>
      <c r="C29" s="121"/>
      <c r="D29" s="132">
        <f>D5+D22</f>
        <v>25694426480.480106</v>
      </c>
      <c r="E29" s="132">
        <f>E5+E22</f>
        <v>2536386775.1740441</v>
      </c>
      <c r="F29" s="132">
        <f>F5+F22</f>
        <v>28230813255.654152</v>
      </c>
      <c r="G29" s="132"/>
      <c r="I29" s="135">
        <v>26022958823</v>
      </c>
    </row>
    <row r="30" spans="1:14" ht="27.75" customHeight="1" x14ac:dyDescent="0.25">
      <c r="A30" s="468"/>
      <c r="B30" s="468"/>
      <c r="C30" s="468"/>
      <c r="D30" s="468"/>
      <c r="E30" s="468"/>
      <c r="F30" s="468"/>
      <c r="G30" s="141"/>
      <c r="H30" s="264"/>
      <c r="I30" s="138">
        <f>D29-I29</f>
        <v>-328532342.51989365</v>
      </c>
      <c r="J30" s="138"/>
      <c r="K30" s="138"/>
      <c r="L30" s="138"/>
      <c r="M30" s="138"/>
      <c r="N30" s="138"/>
    </row>
    <row r="31" spans="1:14" x14ac:dyDescent="0.25">
      <c r="B31" s="112"/>
      <c r="C31" s="112"/>
    </row>
    <row r="32" spans="1:14" x14ac:dyDescent="0.25">
      <c r="B32" s="112"/>
      <c r="C32" s="112"/>
    </row>
    <row r="33" spans="2:7" x14ac:dyDescent="0.25">
      <c r="B33" s="112"/>
      <c r="C33" s="112"/>
    </row>
    <row r="34" spans="2:7" ht="30.75" customHeight="1" x14ac:dyDescent="0.25">
      <c r="B34" s="467"/>
      <c r="C34" s="467"/>
      <c r="D34" s="467"/>
      <c r="E34" s="467"/>
      <c r="F34" s="467"/>
      <c r="G34" s="467"/>
    </row>
    <row r="35" spans="2:7" x14ac:dyDescent="0.25">
      <c r="B35" s="112"/>
      <c r="C35" s="112"/>
    </row>
    <row r="36" spans="2:7" x14ac:dyDescent="0.25">
      <c r="B36" s="112"/>
      <c r="C36" s="112"/>
    </row>
  </sheetData>
  <mergeCells count="13">
    <mergeCell ref="B34:G34"/>
    <mergeCell ref="A30:F30"/>
    <mergeCell ref="G3:G4"/>
    <mergeCell ref="D3:D4"/>
    <mergeCell ref="A3:A4"/>
    <mergeCell ref="C3:C4"/>
    <mergeCell ref="E3:E4"/>
    <mergeCell ref="A1:G1"/>
    <mergeCell ref="I8:I10"/>
    <mergeCell ref="F3:F4"/>
    <mergeCell ref="G17:G21"/>
    <mergeCell ref="B3:B4"/>
    <mergeCell ref="G7:G13"/>
  </mergeCells>
  <pageMargins left="0.56000000000000005" right="0.32" top="0.47" bottom="0.39" header="0.46" footer="0.3"/>
  <pageSetup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workbookViewId="0">
      <selection sqref="A1:B1"/>
    </sheetView>
  </sheetViews>
  <sheetFormatPr defaultColWidth="8.85546875" defaultRowHeight="15.75" x14ac:dyDescent="0.25"/>
  <cols>
    <col min="1" max="1" width="3.7109375" style="202" bestFit="1" customWidth="1"/>
    <col min="2" max="2" width="71.85546875" style="202" customWidth="1"/>
    <col min="3" max="3" width="10.42578125" style="202" customWidth="1"/>
    <col min="4" max="16384" width="8.85546875" style="202"/>
  </cols>
  <sheetData>
    <row r="1" spans="1:3" x14ac:dyDescent="0.25">
      <c r="A1" s="503" t="s">
        <v>819</v>
      </c>
      <c r="B1" s="504"/>
    </row>
    <row r="2" spans="1:3" x14ac:dyDescent="0.25">
      <c r="A2" s="201"/>
      <c r="B2" s="203"/>
    </row>
    <row r="3" spans="1:3" ht="31.5" x14ac:dyDescent="0.25">
      <c r="A3" s="204" t="s">
        <v>59</v>
      </c>
      <c r="B3" s="204" t="s">
        <v>395</v>
      </c>
      <c r="C3" s="204" t="s">
        <v>111</v>
      </c>
    </row>
    <row r="4" spans="1:3" s="272" customFormat="1" ht="22.5" customHeight="1" x14ac:dyDescent="0.25">
      <c r="A4" s="9">
        <v>1</v>
      </c>
      <c r="B4" s="206" t="s">
        <v>383</v>
      </c>
      <c r="C4" s="387"/>
    </row>
    <row r="5" spans="1:3" s="272" customFormat="1" ht="22.5" customHeight="1" x14ac:dyDescent="0.25">
      <c r="A5" s="9">
        <v>2</v>
      </c>
      <c r="B5" s="206" t="s">
        <v>384</v>
      </c>
      <c r="C5" s="387"/>
    </row>
    <row r="6" spans="1:3" s="272" customFormat="1" ht="22.5" customHeight="1" x14ac:dyDescent="0.25">
      <c r="A6" s="9">
        <v>3</v>
      </c>
      <c r="B6" s="206" t="s">
        <v>385</v>
      </c>
      <c r="C6" s="387"/>
    </row>
    <row r="7" spans="1:3" s="272" customFormat="1" ht="22.5" customHeight="1" x14ac:dyDescent="0.25">
      <c r="A7" s="9">
        <v>4</v>
      </c>
      <c r="B7" s="206" t="s">
        <v>386</v>
      </c>
      <c r="C7" s="387"/>
    </row>
    <row r="8" spans="1:3" s="272" customFormat="1" ht="22.5" customHeight="1" x14ac:dyDescent="0.25">
      <c r="A8" s="9">
        <v>5</v>
      </c>
      <c r="B8" s="206" t="s">
        <v>387</v>
      </c>
      <c r="C8" s="387"/>
    </row>
    <row r="9" spans="1:3" s="272" customFormat="1" ht="22.5" customHeight="1" x14ac:dyDescent="0.25">
      <c r="A9" s="9">
        <v>6</v>
      </c>
      <c r="B9" s="206" t="s">
        <v>389</v>
      </c>
      <c r="C9" s="387"/>
    </row>
    <row r="10" spans="1:3" s="272" customFormat="1" ht="22.5" customHeight="1" x14ac:dyDescent="0.25">
      <c r="A10" s="9">
        <v>7</v>
      </c>
      <c r="B10" s="206" t="s">
        <v>390</v>
      </c>
      <c r="C10" s="387"/>
    </row>
    <row r="11" spans="1:3" s="272" customFormat="1" ht="22.5" customHeight="1" x14ac:dyDescent="0.25">
      <c r="A11" s="9">
        <v>8</v>
      </c>
      <c r="B11" s="206" t="s">
        <v>391</v>
      </c>
      <c r="C11" s="387"/>
    </row>
    <row r="12" spans="1:3" s="272" customFormat="1" ht="22.5" customHeight="1" x14ac:dyDescent="0.25">
      <c r="A12" s="9">
        <v>9</v>
      </c>
      <c r="B12" s="206" t="s">
        <v>392</v>
      </c>
      <c r="C12" s="387"/>
    </row>
    <row r="13" spans="1:3" ht="22.5" customHeight="1" x14ac:dyDescent="0.25">
      <c r="A13" s="9">
        <v>10</v>
      </c>
      <c r="B13" s="206" t="s">
        <v>393</v>
      </c>
      <c r="C13" s="406"/>
    </row>
    <row r="14" spans="1:3" ht="22.5" customHeight="1" x14ac:dyDescent="0.25">
      <c r="A14" s="9">
        <v>11</v>
      </c>
      <c r="B14" s="206" t="s">
        <v>394</v>
      </c>
      <c r="C14" s="406"/>
    </row>
  </sheetData>
  <mergeCells count="1">
    <mergeCell ref="A1:B1"/>
  </mergeCells>
  <printOptions horizontalCentered="1"/>
  <pageMargins left="0.70866141732283505" right="0.27559055118110198" top="0.74803149606299202" bottom="0.74803149606299202" header="0.31496062992126" footer="0.31496062992126"/>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topLeftCell="A103" workbookViewId="0">
      <selection activeCell="B8" sqref="B8"/>
    </sheetView>
  </sheetViews>
  <sheetFormatPr defaultRowHeight="16.5" x14ac:dyDescent="0.25"/>
  <cols>
    <col min="1" max="1" width="9.140625" style="208"/>
    <col min="2" max="2" width="60.7109375" style="207" customWidth="1"/>
    <col min="3" max="3" width="16.42578125" style="207" customWidth="1"/>
    <col min="4" max="16384" width="9.140625" style="207"/>
  </cols>
  <sheetData>
    <row r="1" spans="1:3" x14ac:dyDescent="0.25">
      <c r="A1" s="505" t="s">
        <v>820</v>
      </c>
      <c r="B1" s="505"/>
      <c r="C1" s="505"/>
    </row>
    <row r="2" spans="1:3" x14ac:dyDescent="0.25">
      <c r="B2" s="209"/>
    </row>
    <row r="3" spans="1:3" ht="23.25" customHeight="1" x14ac:dyDescent="0.25">
      <c r="A3" s="210" t="s">
        <v>59</v>
      </c>
      <c r="B3" s="210" t="s">
        <v>353</v>
      </c>
      <c r="C3" s="210" t="s">
        <v>112</v>
      </c>
    </row>
    <row r="4" spans="1:3" s="209" customFormat="1" x14ac:dyDescent="0.25">
      <c r="A4" s="211" t="s">
        <v>12</v>
      </c>
      <c r="B4" s="212" t="s">
        <v>396</v>
      </c>
      <c r="C4" s="211">
        <f>SUM(C5:C20)</f>
        <v>16</v>
      </c>
    </row>
    <row r="5" spans="1:3" x14ac:dyDescent="0.25">
      <c r="A5" s="213">
        <v>1</v>
      </c>
      <c r="B5" s="214" t="s">
        <v>397</v>
      </c>
      <c r="C5" s="213">
        <v>1</v>
      </c>
    </row>
    <row r="6" spans="1:3" x14ac:dyDescent="0.25">
      <c r="A6" s="213">
        <v>2</v>
      </c>
      <c r="B6" s="214" t="s">
        <v>398</v>
      </c>
      <c r="C6" s="213">
        <v>1</v>
      </c>
    </row>
    <row r="7" spans="1:3" x14ac:dyDescent="0.25">
      <c r="A7" s="213">
        <v>3</v>
      </c>
      <c r="B7" s="214" t="s">
        <v>399</v>
      </c>
      <c r="C7" s="213">
        <v>1</v>
      </c>
    </row>
    <row r="8" spans="1:3" x14ac:dyDescent="0.25">
      <c r="A8" s="213">
        <v>4</v>
      </c>
      <c r="B8" s="214" t="s">
        <v>400</v>
      </c>
      <c r="C8" s="213">
        <v>1</v>
      </c>
    </row>
    <row r="9" spans="1:3" x14ac:dyDescent="0.25">
      <c r="A9" s="213">
        <v>5</v>
      </c>
      <c r="B9" s="214" t="s">
        <v>401</v>
      </c>
      <c r="C9" s="213">
        <v>1</v>
      </c>
    </row>
    <row r="10" spans="1:3" x14ac:dyDescent="0.25">
      <c r="A10" s="213">
        <v>6</v>
      </c>
      <c r="B10" s="214" t="s">
        <v>402</v>
      </c>
      <c r="C10" s="213">
        <v>1</v>
      </c>
    </row>
    <row r="11" spans="1:3" x14ac:dyDescent="0.25">
      <c r="A11" s="213">
        <v>7</v>
      </c>
      <c r="B11" s="214" t="s">
        <v>403</v>
      </c>
      <c r="C11" s="213">
        <v>1</v>
      </c>
    </row>
    <row r="12" spans="1:3" x14ac:dyDescent="0.25">
      <c r="A12" s="213">
        <v>8</v>
      </c>
      <c r="B12" s="214" t="s">
        <v>404</v>
      </c>
      <c r="C12" s="213">
        <v>1</v>
      </c>
    </row>
    <row r="13" spans="1:3" x14ac:dyDescent="0.25">
      <c r="A13" s="213">
        <v>9</v>
      </c>
      <c r="B13" s="214" t="s">
        <v>405</v>
      </c>
      <c r="C13" s="213">
        <v>1</v>
      </c>
    </row>
    <row r="14" spans="1:3" x14ac:dyDescent="0.25">
      <c r="A14" s="213">
        <v>10</v>
      </c>
      <c r="B14" s="214" t="s">
        <v>406</v>
      </c>
      <c r="C14" s="213">
        <v>1</v>
      </c>
    </row>
    <row r="15" spans="1:3" x14ac:dyDescent="0.25">
      <c r="A15" s="213">
        <v>11</v>
      </c>
      <c r="B15" s="214" t="s">
        <v>407</v>
      </c>
      <c r="C15" s="213">
        <v>1</v>
      </c>
    </row>
    <row r="16" spans="1:3" x14ac:dyDescent="0.25">
      <c r="A16" s="213">
        <v>12</v>
      </c>
      <c r="B16" s="214" t="s">
        <v>408</v>
      </c>
      <c r="C16" s="213">
        <v>1</v>
      </c>
    </row>
    <row r="17" spans="1:3" x14ac:dyDescent="0.25">
      <c r="A17" s="213">
        <v>13</v>
      </c>
      <c r="B17" s="214" t="s">
        <v>409</v>
      </c>
      <c r="C17" s="213">
        <v>1</v>
      </c>
    </row>
    <row r="18" spans="1:3" x14ac:dyDescent="0.25">
      <c r="A18" s="213">
        <v>14</v>
      </c>
      <c r="B18" s="214" t="s">
        <v>410</v>
      </c>
      <c r="C18" s="213">
        <v>1</v>
      </c>
    </row>
    <row r="19" spans="1:3" x14ac:dyDescent="0.25">
      <c r="A19" s="213">
        <v>15</v>
      </c>
      <c r="B19" s="214" t="s">
        <v>411</v>
      </c>
      <c r="C19" s="213">
        <v>1</v>
      </c>
    </row>
    <row r="20" spans="1:3" x14ac:dyDescent="0.25">
      <c r="A20" s="213">
        <v>16</v>
      </c>
      <c r="B20" s="214" t="s">
        <v>412</v>
      </c>
      <c r="C20" s="213">
        <v>1</v>
      </c>
    </row>
    <row r="21" spans="1:3" s="209" customFormat="1" x14ac:dyDescent="0.25">
      <c r="A21" s="211" t="s">
        <v>18</v>
      </c>
      <c r="B21" s="212" t="s">
        <v>413</v>
      </c>
      <c r="C21" s="211">
        <f>SUM(C22:C31)</f>
        <v>10</v>
      </c>
    </row>
    <row r="22" spans="1:3" x14ac:dyDescent="0.25">
      <c r="A22" s="213">
        <v>17</v>
      </c>
      <c r="B22" s="214" t="s">
        <v>397</v>
      </c>
      <c r="C22" s="213">
        <v>1</v>
      </c>
    </row>
    <row r="23" spans="1:3" ht="20.100000000000001" customHeight="1" x14ac:dyDescent="0.25">
      <c r="A23" s="213">
        <v>18</v>
      </c>
      <c r="B23" s="214" t="s">
        <v>398</v>
      </c>
      <c r="C23" s="213">
        <v>1</v>
      </c>
    </row>
    <row r="24" spans="1:3" ht="20.100000000000001" customHeight="1" x14ac:dyDescent="0.25">
      <c r="A24" s="213">
        <v>19</v>
      </c>
      <c r="B24" s="214" t="s">
        <v>399</v>
      </c>
      <c r="C24" s="213">
        <v>1</v>
      </c>
    </row>
    <row r="25" spans="1:3" ht="20.100000000000001" customHeight="1" x14ac:dyDescent="0.25">
      <c r="A25" s="213">
        <v>20</v>
      </c>
      <c r="B25" s="214" t="s">
        <v>400</v>
      </c>
      <c r="C25" s="213">
        <v>1</v>
      </c>
    </row>
    <row r="26" spans="1:3" ht="20.100000000000001" customHeight="1" x14ac:dyDescent="0.25">
      <c r="A26" s="213">
        <v>21</v>
      </c>
      <c r="B26" s="214" t="s">
        <v>401</v>
      </c>
      <c r="C26" s="213">
        <v>1</v>
      </c>
    </row>
    <row r="27" spans="1:3" ht="20.100000000000001" customHeight="1" x14ac:dyDescent="0.25">
      <c r="A27" s="213">
        <v>22</v>
      </c>
      <c r="B27" s="214" t="s">
        <v>402</v>
      </c>
      <c r="C27" s="213">
        <v>1</v>
      </c>
    </row>
    <row r="28" spans="1:3" ht="20.100000000000001" customHeight="1" x14ac:dyDescent="0.25">
      <c r="A28" s="213">
        <v>23</v>
      </c>
      <c r="B28" s="214" t="s">
        <v>403</v>
      </c>
      <c r="C28" s="213">
        <v>1</v>
      </c>
    </row>
    <row r="29" spans="1:3" ht="20.100000000000001" customHeight="1" x14ac:dyDescent="0.25">
      <c r="A29" s="213">
        <v>24</v>
      </c>
      <c r="B29" s="214" t="s">
        <v>404</v>
      </c>
      <c r="C29" s="213">
        <v>1</v>
      </c>
    </row>
    <row r="30" spans="1:3" ht="20.100000000000001" customHeight="1" x14ac:dyDescent="0.25">
      <c r="A30" s="213">
        <v>25</v>
      </c>
      <c r="B30" s="214" t="s">
        <v>414</v>
      </c>
      <c r="C30" s="213">
        <v>1</v>
      </c>
    </row>
    <row r="31" spans="1:3" ht="20.100000000000001" customHeight="1" x14ac:dyDescent="0.25">
      <c r="A31" s="213">
        <v>26</v>
      </c>
      <c r="B31" s="214" t="s">
        <v>415</v>
      </c>
      <c r="C31" s="213">
        <v>1</v>
      </c>
    </row>
    <row r="32" spans="1:3" s="209" customFormat="1" ht="20.100000000000001" customHeight="1" x14ac:dyDescent="0.25">
      <c r="A32" s="211" t="s">
        <v>416</v>
      </c>
      <c r="B32" s="212" t="s">
        <v>417</v>
      </c>
      <c r="C32" s="211">
        <f>SUM(C33:C43)</f>
        <v>11</v>
      </c>
    </row>
    <row r="33" spans="1:3" ht="20.100000000000001" customHeight="1" x14ac:dyDescent="0.25">
      <c r="A33" s="213">
        <v>27</v>
      </c>
      <c r="B33" s="214" t="s">
        <v>397</v>
      </c>
      <c r="C33" s="213">
        <v>1</v>
      </c>
    </row>
    <row r="34" spans="1:3" ht="20.100000000000001" customHeight="1" x14ac:dyDescent="0.25">
      <c r="A34" s="213">
        <f>A33+1</f>
        <v>28</v>
      </c>
      <c r="B34" s="214" t="s">
        <v>398</v>
      </c>
      <c r="C34" s="213">
        <v>1</v>
      </c>
    </row>
    <row r="35" spans="1:3" ht="20.100000000000001" customHeight="1" x14ac:dyDescent="0.25">
      <c r="A35" s="213">
        <f t="shared" ref="A35:A43" si="0">A34+1</f>
        <v>29</v>
      </c>
      <c r="B35" s="214" t="s">
        <v>399</v>
      </c>
      <c r="C35" s="213">
        <v>1</v>
      </c>
    </row>
    <row r="36" spans="1:3" ht="20.100000000000001" customHeight="1" x14ac:dyDescent="0.25">
      <c r="A36" s="213">
        <f t="shared" si="0"/>
        <v>30</v>
      </c>
      <c r="B36" s="214" t="s">
        <v>400</v>
      </c>
      <c r="C36" s="213">
        <v>1</v>
      </c>
    </row>
    <row r="37" spans="1:3" ht="20.100000000000001" customHeight="1" x14ac:dyDescent="0.25">
      <c r="A37" s="213">
        <f t="shared" si="0"/>
        <v>31</v>
      </c>
      <c r="B37" s="214" t="s">
        <v>401</v>
      </c>
      <c r="C37" s="213">
        <v>1</v>
      </c>
    </row>
    <row r="38" spans="1:3" ht="20.100000000000001" customHeight="1" x14ac:dyDescent="0.25">
      <c r="A38" s="213">
        <f t="shared" si="0"/>
        <v>32</v>
      </c>
      <c r="B38" s="214" t="s">
        <v>402</v>
      </c>
      <c r="C38" s="213">
        <v>1</v>
      </c>
    </row>
    <row r="39" spans="1:3" ht="20.100000000000001" customHeight="1" x14ac:dyDescent="0.25">
      <c r="A39" s="213">
        <f t="shared" si="0"/>
        <v>33</v>
      </c>
      <c r="B39" s="214" t="s">
        <v>403</v>
      </c>
      <c r="C39" s="213">
        <v>1</v>
      </c>
    </row>
    <row r="40" spans="1:3" ht="20.100000000000001" customHeight="1" x14ac:dyDescent="0.25">
      <c r="A40" s="213">
        <f t="shared" si="0"/>
        <v>34</v>
      </c>
      <c r="B40" s="214" t="s">
        <v>404</v>
      </c>
      <c r="C40" s="213">
        <v>1</v>
      </c>
    </row>
    <row r="41" spans="1:3" ht="20.100000000000001" customHeight="1" x14ac:dyDescent="0.25">
      <c r="A41" s="213">
        <f t="shared" si="0"/>
        <v>35</v>
      </c>
      <c r="B41" s="214" t="s">
        <v>418</v>
      </c>
      <c r="C41" s="213">
        <v>1</v>
      </c>
    </row>
    <row r="42" spans="1:3" ht="20.100000000000001" customHeight="1" x14ac:dyDescent="0.25">
      <c r="A42" s="213">
        <f t="shared" si="0"/>
        <v>36</v>
      </c>
      <c r="B42" s="214" t="s">
        <v>419</v>
      </c>
      <c r="C42" s="213">
        <v>1</v>
      </c>
    </row>
    <row r="43" spans="1:3" ht="20.100000000000001" customHeight="1" x14ac:dyDescent="0.25">
      <c r="A43" s="213">
        <f t="shared" si="0"/>
        <v>37</v>
      </c>
      <c r="B43" s="214" t="s">
        <v>420</v>
      </c>
      <c r="C43" s="213">
        <v>1</v>
      </c>
    </row>
    <row r="44" spans="1:3" ht="20.100000000000001" customHeight="1" x14ac:dyDescent="0.25">
      <c r="A44" s="211" t="s">
        <v>421</v>
      </c>
      <c r="B44" s="212" t="s">
        <v>422</v>
      </c>
      <c r="C44" s="211">
        <f>SUM(C45:C60)</f>
        <v>16</v>
      </c>
    </row>
    <row r="45" spans="1:3" ht="20.100000000000001" customHeight="1" x14ac:dyDescent="0.25">
      <c r="A45" s="213">
        <f>A43+1</f>
        <v>38</v>
      </c>
      <c r="B45" s="214" t="s">
        <v>397</v>
      </c>
      <c r="C45" s="213">
        <v>1</v>
      </c>
    </row>
    <row r="46" spans="1:3" ht="20.100000000000001" customHeight="1" x14ac:dyDescent="0.25">
      <c r="A46" s="213">
        <f>A45+1</f>
        <v>39</v>
      </c>
      <c r="B46" s="214" t="s">
        <v>398</v>
      </c>
      <c r="C46" s="213">
        <v>1</v>
      </c>
    </row>
    <row r="47" spans="1:3" ht="20.100000000000001" customHeight="1" x14ac:dyDescent="0.25">
      <c r="A47" s="213">
        <f t="shared" ref="A47:A60" si="1">A46+1</f>
        <v>40</v>
      </c>
      <c r="B47" s="214" t="s">
        <v>399</v>
      </c>
      <c r="C47" s="213">
        <v>1</v>
      </c>
    </row>
    <row r="48" spans="1:3" ht="20.100000000000001" customHeight="1" x14ac:dyDescent="0.25">
      <c r="A48" s="213">
        <f t="shared" si="1"/>
        <v>41</v>
      </c>
      <c r="B48" s="214" t="s">
        <v>400</v>
      </c>
      <c r="C48" s="213">
        <v>1</v>
      </c>
    </row>
    <row r="49" spans="1:3" ht="20.100000000000001" customHeight="1" x14ac:dyDescent="0.25">
      <c r="A49" s="213">
        <f t="shared" si="1"/>
        <v>42</v>
      </c>
      <c r="B49" s="214" t="s">
        <v>401</v>
      </c>
      <c r="C49" s="213">
        <v>1</v>
      </c>
    </row>
    <row r="50" spans="1:3" ht="20.100000000000001" customHeight="1" x14ac:dyDescent="0.25">
      <c r="A50" s="213">
        <f t="shared" si="1"/>
        <v>43</v>
      </c>
      <c r="B50" s="214" t="s">
        <v>402</v>
      </c>
      <c r="C50" s="213">
        <v>1</v>
      </c>
    </row>
    <row r="51" spans="1:3" ht="20.100000000000001" customHeight="1" x14ac:dyDescent="0.25">
      <c r="A51" s="213">
        <f t="shared" si="1"/>
        <v>44</v>
      </c>
      <c r="B51" s="214" t="s">
        <v>403</v>
      </c>
      <c r="C51" s="213">
        <v>1</v>
      </c>
    </row>
    <row r="52" spans="1:3" ht="20.100000000000001" customHeight="1" x14ac:dyDescent="0.25">
      <c r="A52" s="213">
        <f t="shared" si="1"/>
        <v>45</v>
      </c>
      <c r="B52" s="214" t="s">
        <v>404</v>
      </c>
      <c r="C52" s="213">
        <v>1</v>
      </c>
    </row>
    <row r="53" spans="1:3" s="209" customFormat="1" ht="20.100000000000001" customHeight="1" x14ac:dyDescent="0.25">
      <c r="A53" s="213">
        <f t="shared" si="1"/>
        <v>46</v>
      </c>
      <c r="B53" s="214" t="s">
        <v>423</v>
      </c>
      <c r="C53" s="213">
        <v>1</v>
      </c>
    </row>
    <row r="54" spans="1:3" ht="20.100000000000001" customHeight="1" x14ac:dyDescent="0.25">
      <c r="A54" s="213">
        <f t="shared" si="1"/>
        <v>47</v>
      </c>
      <c r="B54" s="214" t="s">
        <v>424</v>
      </c>
      <c r="C54" s="213">
        <v>1</v>
      </c>
    </row>
    <row r="55" spans="1:3" ht="20.100000000000001" customHeight="1" x14ac:dyDescent="0.25">
      <c r="A55" s="213">
        <f t="shared" si="1"/>
        <v>48</v>
      </c>
      <c r="B55" s="214" t="s">
        <v>425</v>
      </c>
      <c r="C55" s="213">
        <v>1</v>
      </c>
    </row>
    <row r="56" spans="1:3" ht="20.100000000000001" customHeight="1" x14ac:dyDescent="0.25">
      <c r="A56" s="213">
        <f t="shared" si="1"/>
        <v>49</v>
      </c>
      <c r="B56" s="214" t="s">
        <v>426</v>
      </c>
      <c r="C56" s="213">
        <v>1</v>
      </c>
    </row>
    <row r="57" spans="1:3" ht="20.100000000000001" customHeight="1" x14ac:dyDescent="0.25">
      <c r="A57" s="213">
        <f t="shared" si="1"/>
        <v>50</v>
      </c>
      <c r="B57" s="214" t="s">
        <v>427</v>
      </c>
      <c r="C57" s="213">
        <v>1</v>
      </c>
    </row>
    <row r="58" spans="1:3" ht="20.100000000000001" customHeight="1" x14ac:dyDescent="0.25">
      <c r="A58" s="213">
        <f t="shared" si="1"/>
        <v>51</v>
      </c>
      <c r="B58" s="214" t="s">
        <v>428</v>
      </c>
      <c r="C58" s="213">
        <v>1</v>
      </c>
    </row>
    <row r="59" spans="1:3" ht="20.100000000000001" customHeight="1" x14ac:dyDescent="0.25">
      <c r="A59" s="213">
        <f t="shared" si="1"/>
        <v>52</v>
      </c>
      <c r="B59" s="214" t="s">
        <v>429</v>
      </c>
      <c r="C59" s="213">
        <v>1</v>
      </c>
    </row>
    <row r="60" spans="1:3" ht="20.100000000000001" customHeight="1" x14ac:dyDescent="0.25">
      <c r="A60" s="213">
        <f t="shared" si="1"/>
        <v>53</v>
      </c>
      <c r="B60" s="214" t="s">
        <v>430</v>
      </c>
      <c r="C60" s="213">
        <v>1</v>
      </c>
    </row>
    <row r="61" spans="1:3" ht="20.100000000000001" customHeight="1" x14ac:dyDescent="0.25">
      <c r="A61" s="211" t="s">
        <v>431</v>
      </c>
      <c r="B61" s="212" t="s">
        <v>432</v>
      </c>
      <c r="C61" s="211">
        <f>SUM(C62:C94)</f>
        <v>33</v>
      </c>
    </row>
    <row r="62" spans="1:3" ht="20.100000000000001" customHeight="1" x14ac:dyDescent="0.25">
      <c r="A62" s="213">
        <f>A60+1</f>
        <v>54</v>
      </c>
      <c r="B62" s="214" t="s">
        <v>397</v>
      </c>
      <c r="C62" s="213">
        <v>1</v>
      </c>
    </row>
    <row r="63" spans="1:3" ht="20.100000000000001" customHeight="1" x14ac:dyDescent="0.25">
      <c r="A63" s="213">
        <f>A62+1</f>
        <v>55</v>
      </c>
      <c r="B63" s="214" t="s">
        <v>398</v>
      </c>
      <c r="C63" s="213">
        <v>1</v>
      </c>
    </row>
    <row r="64" spans="1:3" ht="20.100000000000001" customHeight="1" x14ac:dyDescent="0.25">
      <c r="A64" s="213">
        <f t="shared" ref="A64:A94" si="2">A63+1</f>
        <v>56</v>
      </c>
      <c r="B64" s="214" t="s">
        <v>399</v>
      </c>
      <c r="C64" s="213">
        <v>1</v>
      </c>
    </row>
    <row r="65" spans="1:3" ht="20.100000000000001" customHeight="1" x14ac:dyDescent="0.25">
      <c r="A65" s="213">
        <f t="shared" si="2"/>
        <v>57</v>
      </c>
      <c r="B65" s="214" t="s">
        <v>400</v>
      </c>
      <c r="C65" s="213">
        <v>1</v>
      </c>
    </row>
    <row r="66" spans="1:3" ht="20.100000000000001" customHeight="1" x14ac:dyDescent="0.25">
      <c r="A66" s="213">
        <f t="shared" si="2"/>
        <v>58</v>
      </c>
      <c r="B66" s="214" t="s">
        <v>401</v>
      </c>
      <c r="C66" s="213">
        <v>1</v>
      </c>
    </row>
    <row r="67" spans="1:3" ht="20.100000000000001" customHeight="1" x14ac:dyDescent="0.25">
      <c r="A67" s="213">
        <f t="shared" si="2"/>
        <v>59</v>
      </c>
      <c r="B67" s="214" t="s">
        <v>402</v>
      </c>
      <c r="C67" s="213">
        <v>1</v>
      </c>
    </row>
    <row r="68" spans="1:3" ht="20.100000000000001" customHeight="1" x14ac:dyDescent="0.25">
      <c r="A68" s="213">
        <f t="shared" si="2"/>
        <v>60</v>
      </c>
      <c r="B68" s="214" t="s">
        <v>403</v>
      </c>
      <c r="C68" s="213">
        <v>1</v>
      </c>
    </row>
    <row r="69" spans="1:3" ht="20.100000000000001" customHeight="1" x14ac:dyDescent="0.25">
      <c r="A69" s="213">
        <f t="shared" si="2"/>
        <v>61</v>
      </c>
      <c r="B69" s="214" t="s">
        <v>404</v>
      </c>
      <c r="C69" s="213">
        <v>1</v>
      </c>
    </row>
    <row r="70" spans="1:3" ht="20.100000000000001" customHeight="1" x14ac:dyDescent="0.25">
      <c r="A70" s="213">
        <f t="shared" si="2"/>
        <v>62</v>
      </c>
      <c r="B70" s="214" t="s">
        <v>433</v>
      </c>
      <c r="C70" s="213">
        <v>1</v>
      </c>
    </row>
    <row r="71" spans="1:3" ht="20.100000000000001" customHeight="1" x14ac:dyDescent="0.25">
      <c r="A71" s="213">
        <f t="shared" si="2"/>
        <v>63</v>
      </c>
      <c r="B71" s="214" t="s">
        <v>434</v>
      </c>
      <c r="C71" s="213">
        <v>1</v>
      </c>
    </row>
    <row r="72" spans="1:3" ht="20.100000000000001" customHeight="1" x14ac:dyDescent="0.25">
      <c r="A72" s="213">
        <f t="shared" si="2"/>
        <v>64</v>
      </c>
      <c r="B72" s="214" t="s">
        <v>435</v>
      </c>
      <c r="C72" s="213">
        <v>1</v>
      </c>
    </row>
    <row r="73" spans="1:3" ht="20.100000000000001" customHeight="1" x14ac:dyDescent="0.25">
      <c r="A73" s="213">
        <f t="shared" si="2"/>
        <v>65</v>
      </c>
      <c r="B73" s="214" t="s">
        <v>436</v>
      </c>
      <c r="C73" s="213">
        <v>1</v>
      </c>
    </row>
    <row r="74" spans="1:3" ht="20.100000000000001" customHeight="1" x14ac:dyDescent="0.25">
      <c r="A74" s="213">
        <f t="shared" si="2"/>
        <v>66</v>
      </c>
      <c r="B74" s="214" t="s">
        <v>437</v>
      </c>
      <c r="C74" s="213">
        <v>1</v>
      </c>
    </row>
    <row r="75" spans="1:3" ht="20.100000000000001" customHeight="1" x14ac:dyDescent="0.25">
      <c r="A75" s="213">
        <f t="shared" si="2"/>
        <v>67</v>
      </c>
      <c r="B75" s="214" t="s">
        <v>438</v>
      </c>
      <c r="C75" s="213">
        <v>1</v>
      </c>
    </row>
    <row r="76" spans="1:3" ht="20.100000000000001" customHeight="1" x14ac:dyDescent="0.25">
      <c r="A76" s="213">
        <f t="shared" si="2"/>
        <v>68</v>
      </c>
      <c r="B76" s="214" t="s">
        <v>439</v>
      </c>
      <c r="C76" s="213">
        <v>1</v>
      </c>
    </row>
    <row r="77" spans="1:3" ht="20.100000000000001" customHeight="1" x14ac:dyDescent="0.25">
      <c r="A77" s="213">
        <f t="shared" si="2"/>
        <v>69</v>
      </c>
      <c r="B77" s="214" t="s">
        <v>440</v>
      </c>
      <c r="C77" s="213">
        <v>1</v>
      </c>
    </row>
    <row r="78" spans="1:3" ht="20.100000000000001" customHeight="1" x14ac:dyDescent="0.25">
      <c r="A78" s="213">
        <f t="shared" si="2"/>
        <v>70</v>
      </c>
      <c r="B78" s="214" t="s">
        <v>441</v>
      </c>
      <c r="C78" s="213">
        <v>1</v>
      </c>
    </row>
    <row r="79" spans="1:3" ht="20.100000000000001" customHeight="1" x14ac:dyDescent="0.25">
      <c r="A79" s="213">
        <f t="shared" si="2"/>
        <v>71</v>
      </c>
      <c r="B79" s="214" t="s">
        <v>442</v>
      </c>
      <c r="C79" s="213">
        <v>1</v>
      </c>
    </row>
    <row r="80" spans="1:3" ht="20.100000000000001" customHeight="1" x14ac:dyDescent="0.25">
      <c r="A80" s="213">
        <f t="shared" si="2"/>
        <v>72</v>
      </c>
      <c r="B80" s="214" t="s">
        <v>443</v>
      </c>
      <c r="C80" s="213">
        <v>1</v>
      </c>
    </row>
    <row r="81" spans="1:3" ht="20.100000000000001" customHeight="1" x14ac:dyDescent="0.25">
      <c r="A81" s="213">
        <f t="shared" si="2"/>
        <v>73</v>
      </c>
      <c r="B81" s="214" t="s">
        <v>444</v>
      </c>
      <c r="C81" s="213">
        <v>1</v>
      </c>
    </row>
    <row r="82" spans="1:3" ht="20.100000000000001" customHeight="1" x14ac:dyDescent="0.25">
      <c r="A82" s="213">
        <f t="shared" si="2"/>
        <v>74</v>
      </c>
      <c r="B82" s="214" t="s">
        <v>445</v>
      </c>
      <c r="C82" s="213">
        <v>1</v>
      </c>
    </row>
    <row r="83" spans="1:3" ht="20.100000000000001" customHeight="1" x14ac:dyDescent="0.25">
      <c r="A83" s="213">
        <f t="shared" si="2"/>
        <v>75</v>
      </c>
      <c r="B83" s="214" t="s">
        <v>446</v>
      </c>
      <c r="C83" s="213">
        <v>1</v>
      </c>
    </row>
    <row r="84" spans="1:3" ht="20.100000000000001" customHeight="1" x14ac:dyDescent="0.25">
      <c r="A84" s="213">
        <f t="shared" si="2"/>
        <v>76</v>
      </c>
      <c r="B84" s="214" t="s">
        <v>447</v>
      </c>
      <c r="C84" s="213">
        <v>1</v>
      </c>
    </row>
    <row r="85" spans="1:3" ht="20.100000000000001" customHeight="1" x14ac:dyDescent="0.25">
      <c r="A85" s="213">
        <f t="shared" si="2"/>
        <v>77</v>
      </c>
      <c r="B85" s="214" t="s">
        <v>448</v>
      </c>
      <c r="C85" s="213">
        <v>1</v>
      </c>
    </row>
    <row r="86" spans="1:3" ht="20.100000000000001" customHeight="1" x14ac:dyDescent="0.25">
      <c r="A86" s="213">
        <f t="shared" si="2"/>
        <v>78</v>
      </c>
      <c r="B86" s="214" t="s">
        <v>449</v>
      </c>
      <c r="C86" s="213">
        <v>1</v>
      </c>
    </row>
    <row r="87" spans="1:3" ht="20.100000000000001" customHeight="1" x14ac:dyDescent="0.25">
      <c r="A87" s="213">
        <f t="shared" si="2"/>
        <v>79</v>
      </c>
      <c r="B87" s="214" t="s">
        <v>450</v>
      </c>
      <c r="C87" s="213">
        <v>1</v>
      </c>
    </row>
    <row r="88" spans="1:3" ht="20.100000000000001" customHeight="1" x14ac:dyDescent="0.25">
      <c r="A88" s="213">
        <f t="shared" si="2"/>
        <v>80</v>
      </c>
      <c r="B88" s="214" t="s">
        <v>451</v>
      </c>
      <c r="C88" s="213">
        <v>1</v>
      </c>
    </row>
    <row r="89" spans="1:3" ht="20.100000000000001" customHeight="1" x14ac:dyDescent="0.25">
      <c r="A89" s="213">
        <f t="shared" si="2"/>
        <v>81</v>
      </c>
      <c r="B89" s="214" t="s">
        <v>452</v>
      </c>
      <c r="C89" s="213">
        <v>1</v>
      </c>
    </row>
    <row r="90" spans="1:3" ht="20.100000000000001" customHeight="1" x14ac:dyDescent="0.25">
      <c r="A90" s="213">
        <f t="shared" si="2"/>
        <v>82</v>
      </c>
      <c r="B90" s="214" t="s">
        <v>453</v>
      </c>
      <c r="C90" s="213">
        <v>1</v>
      </c>
    </row>
    <row r="91" spans="1:3" ht="20.100000000000001" customHeight="1" x14ac:dyDescent="0.25">
      <c r="A91" s="213">
        <f t="shared" si="2"/>
        <v>83</v>
      </c>
      <c r="B91" s="214" t="s">
        <v>454</v>
      </c>
      <c r="C91" s="213">
        <v>1</v>
      </c>
    </row>
    <row r="92" spans="1:3" ht="20.100000000000001" customHeight="1" x14ac:dyDescent="0.25">
      <c r="A92" s="213">
        <f t="shared" si="2"/>
        <v>84</v>
      </c>
      <c r="B92" s="214" t="s">
        <v>455</v>
      </c>
      <c r="C92" s="213">
        <v>1</v>
      </c>
    </row>
    <row r="93" spans="1:3" ht="20.100000000000001" customHeight="1" x14ac:dyDescent="0.25">
      <c r="A93" s="213">
        <f t="shared" si="2"/>
        <v>85</v>
      </c>
      <c r="B93" s="214" t="s">
        <v>456</v>
      </c>
      <c r="C93" s="213">
        <v>1</v>
      </c>
    </row>
    <row r="94" spans="1:3" ht="20.100000000000001" customHeight="1" x14ac:dyDescent="0.25">
      <c r="A94" s="213">
        <f t="shared" si="2"/>
        <v>86</v>
      </c>
      <c r="B94" s="214" t="s">
        <v>457</v>
      </c>
      <c r="C94" s="213">
        <v>1</v>
      </c>
    </row>
    <row r="95" spans="1:3" x14ac:dyDescent="0.25">
      <c r="A95" s="211" t="s">
        <v>458</v>
      </c>
      <c r="B95" s="212" t="s">
        <v>459</v>
      </c>
      <c r="C95" s="211">
        <f>SUM(C96:C124)</f>
        <v>29</v>
      </c>
    </row>
    <row r="96" spans="1:3" x14ac:dyDescent="0.25">
      <c r="A96" s="213">
        <v>87</v>
      </c>
      <c r="B96" s="214" t="s">
        <v>397</v>
      </c>
      <c r="C96" s="213">
        <v>1</v>
      </c>
    </row>
    <row r="97" spans="1:3" x14ac:dyDescent="0.25">
      <c r="A97" s="213">
        <f t="shared" ref="A97:A124" si="3">A96+1</f>
        <v>88</v>
      </c>
      <c r="B97" s="214" t="s">
        <v>398</v>
      </c>
      <c r="C97" s="213">
        <v>1</v>
      </c>
    </row>
    <row r="98" spans="1:3" x14ac:dyDescent="0.25">
      <c r="A98" s="213">
        <f t="shared" si="3"/>
        <v>89</v>
      </c>
      <c r="B98" s="214" t="s">
        <v>399</v>
      </c>
      <c r="C98" s="213">
        <v>1</v>
      </c>
    </row>
    <row r="99" spans="1:3" x14ac:dyDescent="0.25">
      <c r="A99" s="213">
        <f t="shared" si="3"/>
        <v>90</v>
      </c>
      <c r="B99" s="214" t="s">
        <v>400</v>
      </c>
      <c r="C99" s="213">
        <v>1</v>
      </c>
    </row>
    <row r="100" spans="1:3" x14ac:dyDescent="0.25">
      <c r="A100" s="213">
        <f t="shared" si="3"/>
        <v>91</v>
      </c>
      <c r="B100" s="214" t="s">
        <v>401</v>
      </c>
      <c r="C100" s="213">
        <v>1</v>
      </c>
    </row>
    <row r="101" spans="1:3" s="209" customFormat="1" x14ac:dyDescent="0.25">
      <c r="A101" s="213">
        <f t="shared" si="3"/>
        <v>92</v>
      </c>
      <c r="B101" s="214" t="s">
        <v>402</v>
      </c>
      <c r="C101" s="213">
        <v>1</v>
      </c>
    </row>
    <row r="102" spans="1:3" x14ac:dyDescent="0.25">
      <c r="A102" s="213">
        <f t="shared" si="3"/>
        <v>93</v>
      </c>
      <c r="B102" s="214" t="s">
        <v>403</v>
      </c>
      <c r="C102" s="213">
        <v>1</v>
      </c>
    </row>
    <row r="103" spans="1:3" ht="20.100000000000001" customHeight="1" x14ac:dyDescent="0.25">
      <c r="A103" s="213">
        <f t="shared" si="3"/>
        <v>94</v>
      </c>
      <c r="B103" s="214" t="s">
        <v>404</v>
      </c>
      <c r="C103" s="213">
        <v>1</v>
      </c>
    </row>
    <row r="104" spans="1:3" ht="20.100000000000001" customHeight="1" x14ac:dyDescent="0.25">
      <c r="A104" s="213">
        <f t="shared" si="3"/>
        <v>95</v>
      </c>
      <c r="B104" s="214" t="s">
        <v>460</v>
      </c>
      <c r="C104" s="213">
        <v>1</v>
      </c>
    </row>
    <row r="105" spans="1:3" ht="20.100000000000001" customHeight="1" x14ac:dyDescent="0.25">
      <c r="A105" s="213">
        <f t="shared" si="3"/>
        <v>96</v>
      </c>
      <c r="B105" s="214" t="s">
        <v>461</v>
      </c>
      <c r="C105" s="213">
        <v>1</v>
      </c>
    </row>
    <row r="106" spans="1:3" ht="20.100000000000001" customHeight="1" x14ac:dyDescent="0.25">
      <c r="A106" s="213">
        <f t="shared" si="3"/>
        <v>97</v>
      </c>
      <c r="B106" s="214" t="s">
        <v>462</v>
      </c>
      <c r="C106" s="213">
        <v>1</v>
      </c>
    </row>
    <row r="107" spans="1:3" ht="20.100000000000001" customHeight="1" x14ac:dyDescent="0.25">
      <c r="A107" s="213">
        <f t="shared" si="3"/>
        <v>98</v>
      </c>
      <c r="B107" s="214" t="s">
        <v>463</v>
      </c>
      <c r="C107" s="213">
        <v>1</v>
      </c>
    </row>
    <row r="108" spans="1:3" ht="20.100000000000001" customHeight="1" x14ac:dyDescent="0.25">
      <c r="A108" s="213">
        <f t="shared" si="3"/>
        <v>99</v>
      </c>
      <c r="B108" s="214" t="s">
        <v>464</v>
      </c>
      <c r="C108" s="213">
        <v>1</v>
      </c>
    </row>
    <row r="109" spans="1:3" ht="20.100000000000001" customHeight="1" x14ac:dyDescent="0.25">
      <c r="A109" s="213">
        <f t="shared" si="3"/>
        <v>100</v>
      </c>
      <c r="B109" s="214" t="s">
        <v>465</v>
      </c>
      <c r="C109" s="213">
        <v>1</v>
      </c>
    </row>
    <row r="110" spans="1:3" ht="20.100000000000001" customHeight="1" x14ac:dyDescent="0.25">
      <c r="A110" s="213">
        <f t="shared" si="3"/>
        <v>101</v>
      </c>
      <c r="B110" s="214" t="s">
        <v>466</v>
      </c>
      <c r="C110" s="213">
        <v>1</v>
      </c>
    </row>
    <row r="111" spans="1:3" ht="20.100000000000001" customHeight="1" x14ac:dyDescent="0.25">
      <c r="A111" s="213">
        <f t="shared" si="3"/>
        <v>102</v>
      </c>
      <c r="B111" s="214" t="s">
        <v>467</v>
      </c>
      <c r="C111" s="213">
        <v>1</v>
      </c>
    </row>
    <row r="112" spans="1:3" ht="20.100000000000001" customHeight="1" x14ac:dyDescent="0.25">
      <c r="A112" s="213">
        <f t="shared" si="3"/>
        <v>103</v>
      </c>
      <c r="B112" s="214" t="s">
        <v>468</v>
      </c>
      <c r="C112" s="213">
        <v>1</v>
      </c>
    </row>
    <row r="113" spans="1:3" ht="20.100000000000001" customHeight="1" x14ac:dyDescent="0.25">
      <c r="A113" s="213">
        <f t="shared" si="3"/>
        <v>104</v>
      </c>
      <c r="B113" s="214" t="s">
        <v>469</v>
      </c>
      <c r="C113" s="213">
        <v>1</v>
      </c>
    </row>
    <row r="114" spans="1:3" ht="20.100000000000001" customHeight="1" x14ac:dyDescent="0.25">
      <c r="A114" s="213">
        <f t="shared" si="3"/>
        <v>105</v>
      </c>
      <c r="B114" s="214" t="s">
        <v>470</v>
      </c>
      <c r="C114" s="213">
        <v>1</v>
      </c>
    </row>
    <row r="115" spans="1:3" ht="20.100000000000001" customHeight="1" x14ac:dyDescent="0.25">
      <c r="A115" s="213">
        <f t="shared" si="3"/>
        <v>106</v>
      </c>
      <c r="B115" s="214" t="s">
        <v>471</v>
      </c>
      <c r="C115" s="213">
        <v>1</v>
      </c>
    </row>
    <row r="116" spans="1:3" ht="20.100000000000001" customHeight="1" x14ac:dyDescent="0.25">
      <c r="A116" s="213">
        <f t="shared" si="3"/>
        <v>107</v>
      </c>
      <c r="B116" s="214" t="s">
        <v>472</v>
      </c>
      <c r="C116" s="213">
        <v>1</v>
      </c>
    </row>
    <row r="117" spans="1:3" ht="20.100000000000001" customHeight="1" x14ac:dyDescent="0.25">
      <c r="A117" s="213">
        <f t="shared" si="3"/>
        <v>108</v>
      </c>
      <c r="B117" s="214" t="s">
        <v>473</v>
      </c>
      <c r="C117" s="213">
        <v>1</v>
      </c>
    </row>
    <row r="118" spans="1:3" ht="20.100000000000001" customHeight="1" x14ac:dyDescent="0.25">
      <c r="A118" s="213">
        <f t="shared" si="3"/>
        <v>109</v>
      </c>
      <c r="B118" s="214" t="s">
        <v>474</v>
      </c>
      <c r="C118" s="213">
        <v>1</v>
      </c>
    </row>
    <row r="119" spans="1:3" ht="20.100000000000001" customHeight="1" x14ac:dyDescent="0.25">
      <c r="A119" s="213">
        <f t="shared" si="3"/>
        <v>110</v>
      </c>
      <c r="B119" s="214" t="s">
        <v>475</v>
      </c>
      <c r="C119" s="213">
        <v>1</v>
      </c>
    </row>
    <row r="120" spans="1:3" ht="20.100000000000001" customHeight="1" x14ac:dyDescent="0.25">
      <c r="A120" s="213">
        <f t="shared" si="3"/>
        <v>111</v>
      </c>
      <c r="B120" s="214" t="s">
        <v>476</v>
      </c>
      <c r="C120" s="213">
        <v>1</v>
      </c>
    </row>
    <row r="121" spans="1:3" ht="20.100000000000001" customHeight="1" x14ac:dyDescent="0.25">
      <c r="A121" s="213">
        <f t="shared" si="3"/>
        <v>112</v>
      </c>
      <c r="B121" s="214" t="s">
        <v>477</v>
      </c>
      <c r="C121" s="213">
        <v>1</v>
      </c>
    </row>
    <row r="122" spans="1:3" ht="20.100000000000001" customHeight="1" x14ac:dyDescent="0.25">
      <c r="A122" s="213">
        <f t="shared" si="3"/>
        <v>113</v>
      </c>
      <c r="B122" s="214" t="s">
        <v>478</v>
      </c>
      <c r="C122" s="213">
        <v>1</v>
      </c>
    </row>
    <row r="123" spans="1:3" ht="20.100000000000001" customHeight="1" x14ac:dyDescent="0.25">
      <c r="A123" s="213">
        <f t="shared" si="3"/>
        <v>114</v>
      </c>
      <c r="B123" s="214" t="s">
        <v>479</v>
      </c>
      <c r="C123" s="213">
        <v>1</v>
      </c>
    </row>
    <row r="124" spans="1:3" ht="20.100000000000001" customHeight="1" x14ac:dyDescent="0.25">
      <c r="A124" s="213">
        <f t="shared" si="3"/>
        <v>115</v>
      </c>
      <c r="B124" s="214" t="s">
        <v>480</v>
      </c>
      <c r="C124" s="213">
        <v>1</v>
      </c>
    </row>
    <row r="125" spans="1:3" ht="20.100000000000001" customHeight="1" x14ac:dyDescent="0.25">
      <c r="A125" s="215"/>
      <c r="B125" s="210" t="s">
        <v>481</v>
      </c>
      <c r="C125" s="210">
        <f>C4+C21+C32+C44+C61+C95</f>
        <v>115</v>
      </c>
    </row>
    <row r="126" spans="1:3" ht="20.100000000000001" customHeight="1" x14ac:dyDescent="0.25"/>
    <row r="127" spans="1:3" ht="20.100000000000001" customHeight="1" x14ac:dyDescent="0.25"/>
    <row r="128" spans="1:3" ht="20.100000000000001" customHeight="1" x14ac:dyDescent="0.25"/>
    <row r="129" spans="1:3" ht="20.100000000000001" customHeight="1" x14ac:dyDescent="0.25"/>
    <row r="130" spans="1:3" s="209" customFormat="1" ht="20.100000000000001" customHeight="1" x14ac:dyDescent="0.25">
      <c r="A130" s="208"/>
      <c r="B130" s="207"/>
      <c r="C130" s="207"/>
    </row>
    <row r="131" spans="1:3" ht="20.100000000000001" customHeight="1" x14ac:dyDescent="0.25"/>
    <row r="132" spans="1:3" ht="20.100000000000001" customHeight="1" x14ac:dyDescent="0.25"/>
    <row r="133" spans="1:3" ht="20.100000000000001" customHeight="1" x14ac:dyDescent="0.25"/>
    <row r="134" spans="1:3" ht="20.100000000000001" customHeight="1" x14ac:dyDescent="0.25"/>
    <row r="135" spans="1:3" ht="20.100000000000001" customHeight="1" x14ac:dyDescent="0.25"/>
    <row r="136" spans="1:3" ht="20.100000000000001" customHeight="1" x14ac:dyDescent="0.25"/>
    <row r="137" spans="1:3" ht="20.100000000000001" customHeight="1" x14ac:dyDescent="0.25"/>
    <row r="138" spans="1:3" ht="20.100000000000001" customHeight="1" x14ac:dyDescent="0.25"/>
    <row r="139" spans="1:3" ht="20.100000000000001" customHeight="1" x14ac:dyDescent="0.25"/>
    <row r="140" spans="1:3" ht="20.100000000000001" customHeight="1" x14ac:dyDescent="0.25"/>
    <row r="141" spans="1:3" ht="20.100000000000001" customHeight="1" x14ac:dyDescent="0.25"/>
    <row r="142" spans="1:3" ht="20.100000000000001" customHeight="1" x14ac:dyDescent="0.25"/>
    <row r="143" spans="1:3" ht="20.100000000000001" customHeight="1" x14ac:dyDescent="0.25"/>
    <row r="144" spans="1:3" ht="20.100000000000001" customHeight="1" x14ac:dyDescent="0.25"/>
    <row r="145" ht="20.100000000000001" customHeight="1" x14ac:dyDescent="0.25"/>
    <row r="146" ht="20.100000000000001" customHeight="1" x14ac:dyDescent="0.25"/>
    <row r="147" ht="20.100000000000001" customHeight="1" x14ac:dyDescent="0.25"/>
    <row r="148" ht="20.100000000000001" customHeight="1" x14ac:dyDescent="0.25"/>
    <row r="149" ht="20.100000000000001" customHeight="1" x14ac:dyDescent="0.25"/>
    <row r="150" ht="20.100000000000001" customHeight="1" x14ac:dyDescent="0.25"/>
    <row r="151" ht="20.100000000000001" customHeight="1" x14ac:dyDescent="0.25"/>
  </sheetData>
  <mergeCells count="1">
    <mergeCell ref="A1:C1"/>
  </mergeCells>
  <printOptions horizontalCentered="1"/>
  <pageMargins left="0.70866141732283505" right="0.23622047244094499" top="0.74803149606299202" bottom="0.39370078740157499" header="0.31496062992126" footer="0.31496062992126"/>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topLeftCell="A55" workbookViewId="0">
      <selection activeCell="B11" sqref="B11"/>
    </sheetView>
  </sheetViews>
  <sheetFormatPr defaultRowHeight="16.5" x14ac:dyDescent="0.25"/>
  <cols>
    <col min="1" max="1" width="9.140625" style="208"/>
    <col min="2" max="2" width="66.140625" style="207" customWidth="1"/>
    <col min="3" max="3" width="9.5703125" style="207" customWidth="1"/>
    <col min="4" max="16384" width="9.140625" style="207"/>
  </cols>
  <sheetData>
    <row r="1" spans="1:3" x14ac:dyDescent="0.25">
      <c r="A1" s="505" t="s">
        <v>821</v>
      </c>
      <c r="B1" s="505"/>
      <c r="C1" s="505"/>
    </row>
    <row r="3" spans="1:3" ht="21.75" customHeight="1" x14ac:dyDescent="0.25">
      <c r="A3" s="210" t="s">
        <v>59</v>
      </c>
      <c r="B3" s="210" t="s">
        <v>353</v>
      </c>
      <c r="C3" s="210" t="s">
        <v>112</v>
      </c>
    </row>
    <row r="4" spans="1:3" s="209" customFormat="1" x14ac:dyDescent="0.25">
      <c r="A4" s="211" t="s">
        <v>12</v>
      </c>
      <c r="B4" s="216" t="s">
        <v>482</v>
      </c>
      <c r="C4" s="211">
        <f>SUM(C5:C13)</f>
        <v>9</v>
      </c>
    </row>
    <row r="5" spans="1:3" x14ac:dyDescent="0.25">
      <c r="A5" s="213">
        <v>1</v>
      </c>
      <c r="B5" s="214" t="s">
        <v>397</v>
      </c>
      <c r="C5" s="213">
        <v>1</v>
      </c>
    </row>
    <row r="6" spans="1:3" x14ac:dyDescent="0.25">
      <c r="A6" s="213">
        <v>2</v>
      </c>
      <c r="B6" s="214" t="s">
        <v>398</v>
      </c>
      <c r="C6" s="213">
        <v>1</v>
      </c>
    </row>
    <row r="7" spans="1:3" x14ac:dyDescent="0.25">
      <c r="A7" s="213">
        <v>3</v>
      </c>
      <c r="B7" s="214" t="s">
        <v>399</v>
      </c>
      <c r="C7" s="213">
        <v>1</v>
      </c>
    </row>
    <row r="8" spans="1:3" x14ac:dyDescent="0.25">
      <c r="A8" s="213">
        <v>4</v>
      </c>
      <c r="B8" s="214" t="s">
        <v>400</v>
      </c>
      <c r="C8" s="213">
        <v>1</v>
      </c>
    </row>
    <row r="9" spans="1:3" x14ac:dyDescent="0.25">
      <c r="A9" s="213">
        <v>5</v>
      </c>
      <c r="B9" s="214" t="s">
        <v>401</v>
      </c>
      <c r="C9" s="213">
        <v>1</v>
      </c>
    </row>
    <row r="10" spans="1:3" x14ac:dyDescent="0.25">
      <c r="A10" s="213">
        <v>6</v>
      </c>
      <c r="B10" s="214" t="s">
        <v>402</v>
      </c>
      <c r="C10" s="213">
        <v>1</v>
      </c>
    </row>
    <row r="11" spans="1:3" x14ac:dyDescent="0.25">
      <c r="A11" s="213">
        <v>7</v>
      </c>
      <c r="B11" s="214" t="s">
        <v>403</v>
      </c>
      <c r="C11" s="213">
        <v>1</v>
      </c>
    </row>
    <row r="12" spans="1:3" x14ac:dyDescent="0.25">
      <c r="A12" s="213">
        <v>8</v>
      </c>
      <c r="B12" s="214" t="s">
        <v>404</v>
      </c>
      <c r="C12" s="213">
        <v>1</v>
      </c>
    </row>
    <row r="13" spans="1:3" x14ac:dyDescent="0.25">
      <c r="A13" s="213">
        <v>9</v>
      </c>
      <c r="B13" s="214" t="s">
        <v>274</v>
      </c>
      <c r="C13" s="213">
        <v>1</v>
      </c>
    </row>
    <row r="14" spans="1:3" s="209" customFormat="1" ht="18" customHeight="1" x14ac:dyDescent="0.25">
      <c r="A14" s="211" t="s">
        <v>18</v>
      </c>
      <c r="B14" s="212" t="s">
        <v>483</v>
      </c>
      <c r="C14" s="211">
        <f>SUM(C15:C41)</f>
        <v>27</v>
      </c>
    </row>
    <row r="15" spans="1:3" x14ac:dyDescent="0.25">
      <c r="A15" s="213">
        <v>10</v>
      </c>
      <c r="B15" s="214" t="s">
        <v>397</v>
      </c>
      <c r="C15" s="213">
        <v>1</v>
      </c>
    </row>
    <row r="16" spans="1:3" x14ac:dyDescent="0.25">
      <c r="A16" s="213">
        <f>A15+1</f>
        <v>11</v>
      </c>
      <c r="B16" s="214" t="s">
        <v>398</v>
      </c>
      <c r="C16" s="213">
        <v>1</v>
      </c>
    </row>
    <row r="17" spans="1:3" x14ac:dyDescent="0.25">
      <c r="A17" s="213">
        <f t="shared" ref="A17:A41" si="0">A16+1</f>
        <v>12</v>
      </c>
      <c r="B17" s="214" t="s">
        <v>399</v>
      </c>
      <c r="C17" s="213">
        <v>1</v>
      </c>
    </row>
    <row r="18" spans="1:3" x14ac:dyDescent="0.25">
      <c r="A18" s="213">
        <f t="shared" si="0"/>
        <v>13</v>
      </c>
      <c r="B18" s="214" t="s">
        <v>400</v>
      </c>
      <c r="C18" s="213">
        <v>1</v>
      </c>
    </row>
    <row r="19" spans="1:3" x14ac:dyDescent="0.25">
      <c r="A19" s="213">
        <f t="shared" si="0"/>
        <v>14</v>
      </c>
      <c r="B19" s="214" t="s">
        <v>401</v>
      </c>
      <c r="C19" s="213">
        <v>1</v>
      </c>
    </row>
    <row r="20" spans="1:3" x14ac:dyDescent="0.25">
      <c r="A20" s="213">
        <f t="shared" si="0"/>
        <v>15</v>
      </c>
      <c r="B20" s="214" t="s">
        <v>402</v>
      </c>
      <c r="C20" s="213">
        <v>1</v>
      </c>
    </row>
    <row r="21" spans="1:3" x14ac:dyDescent="0.25">
      <c r="A21" s="213">
        <f t="shared" si="0"/>
        <v>16</v>
      </c>
      <c r="B21" s="214" t="s">
        <v>403</v>
      </c>
      <c r="C21" s="213">
        <v>1</v>
      </c>
    </row>
    <row r="22" spans="1:3" x14ac:dyDescent="0.25">
      <c r="A22" s="213">
        <f t="shared" si="0"/>
        <v>17</v>
      </c>
      <c r="B22" s="214" t="s">
        <v>404</v>
      </c>
      <c r="C22" s="213">
        <v>1</v>
      </c>
    </row>
    <row r="23" spans="1:3" x14ac:dyDescent="0.25">
      <c r="A23" s="213">
        <f t="shared" si="0"/>
        <v>18</v>
      </c>
      <c r="B23" s="214" t="s">
        <v>484</v>
      </c>
      <c r="C23" s="213">
        <v>1</v>
      </c>
    </row>
    <row r="24" spans="1:3" x14ac:dyDescent="0.25">
      <c r="A24" s="213">
        <f t="shared" si="0"/>
        <v>19</v>
      </c>
      <c r="B24" s="214" t="s">
        <v>485</v>
      </c>
      <c r="C24" s="213">
        <v>1</v>
      </c>
    </row>
    <row r="25" spans="1:3" x14ac:dyDescent="0.25">
      <c r="A25" s="213">
        <f t="shared" si="0"/>
        <v>20</v>
      </c>
      <c r="B25" s="214" t="s">
        <v>486</v>
      </c>
      <c r="C25" s="213">
        <v>1</v>
      </c>
    </row>
    <row r="26" spans="1:3" x14ac:dyDescent="0.25">
      <c r="A26" s="213">
        <f t="shared" si="0"/>
        <v>21</v>
      </c>
      <c r="B26" s="214" t="s">
        <v>487</v>
      </c>
      <c r="C26" s="213">
        <v>1</v>
      </c>
    </row>
    <row r="27" spans="1:3" x14ac:dyDescent="0.25">
      <c r="A27" s="213">
        <f t="shared" si="0"/>
        <v>22</v>
      </c>
      <c r="B27" s="214" t="s">
        <v>488</v>
      </c>
      <c r="C27" s="213">
        <v>1</v>
      </c>
    </row>
    <row r="28" spans="1:3" x14ac:dyDescent="0.25">
      <c r="A28" s="213">
        <f t="shared" si="0"/>
        <v>23</v>
      </c>
      <c r="B28" s="214" t="s">
        <v>489</v>
      </c>
      <c r="C28" s="213">
        <v>1</v>
      </c>
    </row>
    <row r="29" spans="1:3" x14ac:dyDescent="0.25">
      <c r="A29" s="213">
        <f t="shared" si="0"/>
        <v>24</v>
      </c>
      <c r="B29" s="214" t="s">
        <v>490</v>
      </c>
      <c r="C29" s="213">
        <v>1</v>
      </c>
    </row>
    <row r="30" spans="1:3" x14ac:dyDescent="0.25">
      <c r="A30" s="213">
        <f t="shared" si="0"/>
        <v>25</v>
      </c>
      <c r="B30" s="214" t="s">
        <v>491</v>
      </c>
      <c r="C30" s="213">
        <v>1</v>
      </c>
    </row>
    <row r="31" spans="1:3" s="209" customFormat="1" x14ac:dyDescent="0.25">
      <c r="A31" s="213">
        <f t="shared" si="0"/>
        <v>26</v>
      </c>
      <c r="B31" s="214" t="s">
        <v>492</v>
      </c>
      <c r="C31" s="213">
        <v>1</v>
      </c>
    </row>
    <row r="32" spans="1:3" x14ac:dyDescent="0.25">
      <c r="A32" s="213">
        <f t="shared" si="0"/>
        <v>27</v>
      </c>
      <c r="B32" s="214" t="s">
        <v>493</v>
      </c>
      <c r="C32" s="213">
        <v>1</v>
      </c>
    </row>
    <row r="33" spans="1:3" x14ac:dyDescent="0.25">
      <c r="A33" s="213">
        <f t="shared" si="0"/>
        <v>28</v>
      </c>
      <c r="B33" s="214" t="s">
        <v>494</v>
      </c>
      <c r="C33" s="213">
        <v>1</v>
      </c>
    </row>
    <row r="34" spans="1:3" x14ac:dyDescent="0.25">
      <c r="A34" s="213">
        <f t="shared" si="0"/>
        <v>29</v>
      </c>
      <c r="B34" s="214" t="s">
        <v>495</v>
      </c>
      <c r="C34" s="213">
        <v>1</v>
      </c>
    </row>
    <row r="35" spans="1:3" x14ac:dyDescent="0.25">
      <c r="A35" s="213">
        <f t="shared" si="0"/>
        <v>30</v>
      </c>
      <c r="B35" s="214" t="s">
        <v>496</v>
      </c>
      <c r="C35" s="213">
        <v>1</v>
      </c>
    </row>
    <row r="36" spans="1:3" x14ac:dyDescent="0.25">
      <c r="A36" s="213">
        <f t="shared" si="0"/>
        <v>31</v>
      </c>
      <c r="B36" s="214" t="s">
        <v>497</v>
      </c>
      <c r="C36" s="213">
        <v>1</v>
      </c>
    </row>
    <row r="37" spans="1:3" x14ac:dyDescent="0.25">
      <c r="A37" s="213">
        <f t="shared" si="0"/>
        <v>32</v>
      </c>
      <c r="B37" s="214" t="s">
        <v>498</v>
      </c>
      <c r="C37" s="213">
        <v>1</v>
      </c>
    </row>
    <row r="38" spans="1:3" x14ac:dyDescent="0.25">
      <c r="A38" s="213">
        <f t="shared" si="0"/>
        <v>33</v>
      </c>
      <c r="B38" s="214" t="s">
        <v>499</v>
      </c>
      <c r="C38" s="213">
        <v>1</v>
      </c>
    </row>
    <row r="39" spans="1:3" x14ac:dyDescent="0.25">
      <c r="A39" s="213">
        <f t="shared" si="0"/>
        <v>34</v>
      </c>
      <c r="B39" s="214" t="s">
        <v>500</v>
      </c>
      <c r="C39" s="213">
        <v>1</v>
      </c>
    </row>
    <row r="40" spans="1:3" x14ac:dyDescent="0.25">
      <c r="A40" s="213">
        <f t="shared" si="0"/>
        <v>35</v>
      </c>
      <c r="B40" s="214" t="s">
        <v>501</v>
      </c>
      <c r="C40" s="213">
        <v>1</v>
      </c>
    </row>
    <row r="41" spans="1:3" x14ac:dyDescent="0.25">
      <c r="A41" s="213">
        <f t="shared" si="0"/>
        <v>36</v>
      </c>
      <c r="B41" s="214" t="s">
        <v>502</v>
      </c>
      <c r="C41" s="213">
        <v>1</v>
      </c>
    </row>
    <row r="42" spans="1:3" s="209" customFormat="1" x14ac:dyDescent="0.25">
      <c r="A42" s="211" t="s">
        <v>416</v>
      </c>
      <c r="B42" s="216" t="s">
        <v>503</v>
      </c>
      <c r="C42" s="211">
        <v>11</v>
      </c>
    </row>
    <row r="43" spans="1:3" x14ac:dyDescent="0.25">
      <c r="A43" s="213">
        <v>37</v>
      </c>
      <c r="B43" s="214" t="s">
        <v>397</v>
      </c>
      <c r="C43" s="213">
        <v>1</v>
      </c>
    </row>
    <row r="44" spans="1:3" x14ac:dyDescent="0.25">
      <c r="A44" s="213">
        <f t="shared" ref="A44:A53" si="1">A43+1</f>
        <v>38</v>
      </c>
      <c r="B44" s="214" t="s">
        <v>398</v>
      </c>
      <c r="C44" s="213">
        <v>1</v>
      </c>
    </row>
    <row r="45" spans="1:3" x14ac:dyDescent="0.25">
      <c r="A45" s="213">
        <f t="shared" si="1"/>
        <v>39</v>
      </c>
      <c r="B45" s="214" t="s">
        <v>399</v>
      </c>
      <c r="C45" s="213">
        <v>1</v>
      </c>
    </row>
    <row r="46" spans="1:3" x14ac:dyDescent="0.25">
      <c r="A46" s="213">
        <f t="shared" si="1"/>
        <v>40</v>
      </c>
      <c r="B46" s="214" t="s">
        <v>400</v>
      </c>
      <c r="C46" s="213">
        <v>1</v>
      </c>
    </row>
    <row r="47" spans="1:3" x14ac:dyDescent="0.25">
      <c r="A47" s="213">
        <f t="shared" si="1"/>
        <v>41</v>
      </c>
      <c r="B47" s="214" t="s">
        <v>401</v>
      </c>
      <c r="C47" s="213">
        <v>1</v>
      </c>
    </row>
    <row r="48" spans="1:3" x14ac:dyDescent="0.25">
      <c r="A48" s="213">
        <f t="shared" si="1"/>
        <v>42</v>
      </c>
      <c r="B48" s="214" t="s">
        <v>402</v>
      </c>
      <c r="C48" s="213">
        <v>1</v>
      </c>
    </row>
    <row r="49" spans="1:3" x14ac:dyDescent="0.25">
      <c r="A49" s="213">
        <f t="shared" si="1"/>
        <v>43</v>
      </c>
      <c r="B49" s="214" t="s">
        <v>403</v>
      </c>
      <c r="C49" s="213">
        <v>1</v>
      </c>
    </row>
    <row r="50" spans="1:3" x14ac:dyDescent="0.25">
      <c r="A50" s="213">
        <f t="shared" si="1"/>
        <v>44</v>
      </c>
      <c r="B50" s="214" t="s">
        <v>404</v>
      </c>
      <c r="C50" s="213">
        <v>1</v>
      </c>
    </row>
    <row r="51" spans="1:3" x14ac:dyDescent="0.25">
      <c r="A51" s="213">
        <f t="shared" si="1"/>
        <v>45</v>
      </c>
      <c r="B51" s="214" t="s">
        <v>504</v>
      </c>
      <c r="C51" s="213">
        <v>1</v>
      </c>
    </row>
    <row r="52" spans="1:3" x14ac:dyDescent="0.25">
      <c r="A52" s="213">
        <f t="shared" si="1"/>
        <v>46</v>
      </c>
      <c r="B52" s="214" t="s">
        <v>505</v>
      </c>
      <c r="C52" s="213">
        <v>1</v>
      </c>
    </row>
    <row r="53" spans="1:3" x14ac:dyDescent="0.25">
      <c r="A53" s="213">
        <f t="shared" si="1"/>
        <v>47</v>
      </c>
      <c r="B53" s="214" t="s">
        <v>506</v>
      </c>
      <c r="C53" s="213">
        <v>1</v>
      </c>
    </row>
    <row r="54" spans="1:3" x14ac:dyDescent="0.25">
      <c r="A54" s="211" t="s">
        <v>421</v>
      </c>
      <c r="B54" s="216" t="s">
        <v>507</v>
      </c>
      <c r="C54" s="211">
        <f>SUM(C55:C64)</f>
        <v>10</v>
      </c>
    </row>
    <row r="55" spans="1:3" ht="23.25" customHeight="1" x14ac:dyDescent="0.25">
      <c r="A55" s="213">
        <v>48</v>
      </c>
      <c r="B55" s="214" t="s">
        <v>397</v>
      </c>
      <c r="C55" s="213">
        <v>1</v>
      </c>
    </row>
    <row r="56" spans="1:3" x14ac:dyDescent="0.25">
      <c r="A56" s="213">
        <f t="shared" ref="A56:A64" si="2">A55+1</f>
        <v>49</v>
      </c>
      <c r="B56" s="214" t="s">
        <v>398</v>
      </c>
      <c r="C56" s="213">
        <v>1</v>
      </c>
    </row>
    <row r="57" spans="1:3" x14ac:dyDescent="0.25">
      <c r="A57" s="213">
        <f t="shared" si="2"/>
        <v>50</v>
      </c>
      <c r="B57" s="214" t="s">
        <v>399</v>
      </c>
      <c r="C57" s="213">
        <v>1</v>
      </c>
    </row>
    <row r="58" spans="1:3" x14ac:dyDescent="0.25">
      <c r="A58" s="213">
        <f t="shared" si="2"/>
        <v>51</v>
      </c>
      <c r="B58" s="214" t="s">
        <v>400</v>
      </c>
      <c r="C58" s="213">
        <v>1</v>
      </c>
    </row>
    <row r="59" spans="1:3" x14ac:dyDescent="0.25">
      <c r="A59" s="213">
        <f t="shared" si="2"/>
        <v>52</v>
      </c>
      <c r="B59" s="214" t="s">
        <v>401</v>
      </c>
      <c r="C59" s="213">
        <v>1</v>
      </c>
    </row>
    <row r="60" spans="1:3" x14ac:dyDescent="0.25">
      <c r="A60" s="213">
        <f t="shared" si="2"/>
        <v>53</v>
      </c>
      <c r="B60" s="214" t="s">
        <v>402</v>
      </c>
      <c r="C60" s="213">
        <v>1</v>
      </c>
    </row>
    <row r="61" spans="1:3" x14ac:dyDescent="0.25">
      <c r="A61" s="213">
        <f t="shared" si="2"/>
        <v>54</v>
      </c>
      <c r="B61" s="214" t="s">
        <v>403</v>
      </c>
      <c r="C61" s="213">
        <v>1</v>
      </c>
    </row>
    <row r="62" spans="1:3" x14ac:dyDescent="0.25">
      <c r="A62" s="213">
        <f t="shared" si="2"/>
        <v>55</v>
      </c>
      <c r="B62" s="214" t="s">
        <v>404</v>
      </c>
      <c r="C62" s="213">
        <v>1</v>
      </c>
    </row>
    <row r="63" spans="1:3" x14ac:dyDescent="0.25">
      <c r="A63" s="213">
        <f t="shared" si="2"/>
        <v>56</v>
      </c>
      <c r="B63" s="214" t="s">
        <v>508</v>
      </c>
      <c r="C63" s="213">
        <v>1</v>
      </c>
    </row>
    <row r="64" spans="1:3" x14ac:dyDescent="0.25">
      <c r="A64" s="213">
        <f t="shared" si="2"/>
        <v>57</v>
      </c>
      <c r="B64" s="214" t="s">
        <v>509</v>
      </c>
      <c r="C64" s="213">
        <v>1</v>
      </c>
    </row>
    <row r="65" spans="1:3" x14ac:dyDescent="0.25">
      <c r="A65" s="210" t="s">
        <v>431</v>
      </c>
      <c r="B65" s="217" t="s">
        <v>510</v>
      </c>
      <c r="C65" s="210">
        <f>SUM(C66:C76)</f>
        <v>11</v>
      </c>
    </row>
    <row r="66" spans="1:3" x14ac:dyDescent="0.25">
      <c r="A66" s="213">
        <v>58</v>
      </c>
      <c r="B66" s="214" t="s">
        <v>397</v>
      </c>
      <c r="C66" s="213">
        <v>1</v>
      </c>
    </row>
    <row r="67" spans="1:3" x14ac:dyDescent="0.25">
      <c r="A67" s="213">
        <f t="shared" ref="A67:A76" si="3">A66+1</f>
        <v>59</v>
      </c>
      <c r="B67" s="214" t="s">
        <v>398</v>
      </c>
      <c r="C67" s="213">
        <v>1</v>
      </c>
    </row>
    <row r="68" spans="1:3" x14ac:dyDescent="0.25">
      <c r="A68" s="213">
        <f t="shared" si="3"/>
        <v>60</v>
      </c>
      <c r="B68" s="214" t="s">
        <v>399</v>
      </c>
      <c r="C68" s="213">
        <v>1</v>
      </c>
    </row>
    <row r="69" spans="1:3" x14ac:dyDescent="0.25">
      <c r="A69" s="213">
        <f t="shared" si="3"/>
        <v>61</v>
      </c>
      <c r="B69" s="214" t="s">
        <v>400</v>
      </c>
      <c r="C69" s="213">
        <v>1</v>
      </c>
    </row>
    <row r="70" spans="1:3" x14ac:dyDescent="0.25">
      <c r="A70" s="213">
        <f t="shared" si="3"/>
        <v>62</v>
      </c>
      <c r="B70" s="214" t="s">
        <v>401</v>
      </c>
      <c r="C70" s="213">
        <v>1</v>
      </c>
    </row>
    <row r="71" spans="1:3" x14ac:dyDescent="0.25">
      <c r="A71" s="213">
        <f t="shared" si="3"/>
        <v>63</v>
      </c>
      <c r="B71" s="214" t="s">
        <v>402</v>
      </c>
      <c r="C71" s="213">
        <v>1</v>
      </c>
    </row>
    <row r="72" spans="1:3" x14ac:dyDescent="0.25">
      <c r="A72" s="213">
        <f t="shared" si="3"/>
        <v>64</v>
      </c>
      <c r="B72" s="214" t="s">
        <v>403</v>
      </c>
      <c r="C72" s="213">
        <v>1</v>
      </c>
    </row>
    <row r="73" spans="1:3" x14ac:dyDescent="0.25">
      <c r="A73" s="213">
        <f t="shared" si="3"/>
        <v>65</v>
      </c>
      <c r="B73" s="214" t="s">
        <v>404</v>
      </c>
      <c r="C73" s="213">
        <v>1</v>
      </c>
    </row>
    <row r="74" spans="1:3" x14ac:dyDescent="0.25">
      <c r="A74" s="213">
        <f t="shared" si="3"/>
        <v>66</v>
      </c>
      <c r="B74" s="214" t="s">
        <v>511</v>
      </c>
      <c r="C74" s="213">
        <v>1</v>
      </c>
    </row>
    <row r="75" spans="1:3" x14ac:dyDescent="0.25">
      <c r="A75" s="213">
        <f t="shared" si="3"/>
        <v>67</v>
      </c>
      <c r="B75" s="214" t="s">
        <v>512</v>
      </c>
      <c r="C75" s="213">
        <v>1</v>
      </c>
    </row>
    <row r="76" spans="1:3" x14ac:dyDescent="0.25">
      <c r="A76" s="213">
        <f t="shared" si="3"/>
        <v>68</v>
      </c>
      <c r="B76" s="214" t="s">
        <v>513</v>
      </c>
      <c r="C76" s="213">
        <v>1</v>
      </c>
    </row>
    <row r="77" spans="1:3" x14ac:dyDescent="0.25">
      <c r="A77" s="215"/>
      <c r="B77" s="210" t="s">
        <v>481</v>
      </c>
      <c r="C77" s="210">
        <f>C65+C54+C42+C14+C4</f>
        <v>68</v>
      </c>
    </row>
  </sheetData>
  <mergeCells count="1">
    <mergeCell ref="A1:C1"/>
  </mergeCells>
  <printOptions horizontalCentered="1"/>
  <pageMargins left="0.70866141732283505" right="0.70866141732283505" top="0.74803149606299202" bottom="0.44" header="0.31496062992126" footer="0.31496062992126"/>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7"/>
  <sheetViews>
    <sheetView workbookViewId="0">
      <selection activeCell="G17" sqref="G17"/>
    </sheetView>
  </sheetViews>
  <sheetFormatPr defaultRowHeight="16.5" x14ac:dyDescent="0.25"/>
  <cols>
    <col min="1" max="1" width="5.7109375" style="207" customWidth="1"/>
    <col min="2" max="2" width="67.28515625" style="207" customWidth="1"/>
    <col min="3" max="3" width="11" style="207" customWidth="1"/>
    <col min="4" max="4" width="9.42578125" style="207" customWidth="1"/>
    <col min="5" max="5" width="17.5703125" style="207" customWidth="1"/>
    <col min="6" max="6" width="10.5703125" style="207" customWidth="1"/>
    <col min="7" max="7" width="11.7109375" style="207" customWidth="1"/>
    <col min="8" max="8" width="10" style="207" customWidth="1"/>
    <col min="9" max="11" width="9.140625" style="207"/>
    <col min="12" max="12" width="23" style="207" hidden="1" customWidth="1"/>
    <col min="13" max="16384" width="9.140625" style="207"/>
  </cols>
  <sheetData>
    <row r="1" spans="1:12" x14ac:dyDescent="0.25">
      <c r="A1" s="209" t="s">
        <v>822</v>
      </c>
    </row>
    <row r="2" spans="1:12" x14ac:dyDescent="0.25">
      <c r="A2" s="209"/>
    </row>
    <row r="3" spans="1:12" x14ac:dyDescent="0.25">
      <c r="A3" s="207" t="s">
        <v>381</v>
      </c>
    </row>
    <row r="4" spans="1:12" x14ac:dyDescent="0.25">
      <c r="A4" s="207" t="s">
        <v>514</v>
      </c>
    </row>
    <row r="5" spans="1:12" x14ac:dyDescent="0.25">
      <c r="A5" s="207" t="s">
        <v>515</v>
      </c>
    </row>
    <row r="6" spans="1:12" x14ac:dyDescent="0.25">
      <c r="A6" s="207" t="s">
        <v>516</v>
      </c>
    </row>
    <row r="7" spans="1:12" x14ac:dyDescent="0.25">
      <c r="A7" s="207" t="s">
        <v>517</v>
      </c>
    </row>
    <row r="8" spans="1:12" x14ac:dyDescent="0.25">
      <c r="A8" s="207" t="s">
        <v>518</v>
      </c>
    </row>
    <row r="9" spans="1:12" x14ac:dyDescent="0.25">
      <c r="A9" s="207" t="s">
        <v>519</v>
      </c>
    </row>
    <row r="10" spans="1:12" x14ac:dyDescent="0.25">
      <c r="A10" s="207" t="s">
        <v>520</v>
      </c>
    </row>
    <row r="12" spans="1:12" ht="24.75" customHeight="1" x14ac:dyDescent="0.25">
      <c r="A12" s="506" t="s">
        <v>0</v>
      </c>
      <c r="B12" s="506" t="s">
        <v>521</v>
      </c>
      <c r="C12" s="508" t="s">
        <v>522</v>
      </c>
      <c r="D12" s="509"/>
      <c r="E12" s="509"/>
      <c r="F12" s="509"/>
      <c r="G12" s="509"/>
      <c r="H12" s="509"/>
      <c r="I12" s="509"/>
      <c r="J12" s="510"/>
      <c r="K12" s="511" t="s">
        <v>523</v>
      </c>
      <c r="L12" s="218" t="s">
        <v>524</v>
      </c>
    </row>
    <row r="13" spans="1:12" ht="71.25" customHeight="1" x14ac:dyDescent="0.25">
      <c r="A13" s="507"/>
      <c r="B13" s="507"/>
      <c r="C13" s="219" t="s">
        <v>525</v>
      </c>
      <c r="D13" s="220" t="s">
        <v>526</v>
      </c>
      <c r="E13" s="220" t="s">
        <v>527</v>
      </c>
      <c r="F13" s="220" t="s">
        <v>528</v>
      </c>
      <c r="G13" s="219" t="s">
        <v>529</v>
      </c>
      <c r="H13" s="219" t="s">
        <v>530</v>
      </c>
      <c r="I13" s="219" t="s">
        <v>531</v>
      </c>
      <c r="J13" s="219" t="s">
        <v>532</v>
      </c>
      <c r="K13" s="512"/>
    </row>
    <row r="14" spans="1:12" x14ac:dyDescent="0.25">
      <c r="A14" s="221"/>
      <c r="B14" s="222" t="s">
        <v>533</v>
      </c>
      <c r="C14" s="214"/>
      <c r="D14" s="214"/>
      <c r="E14" s="214"/>
      <c r="F14" s="214"/>
      <c r="G14" s="214"/>
      <c r="H14" s="214"/>
      <c r="I14" s="214"/>
      <c r="J14" s="214"/>
      <c r="K14" s="211">
        <f>SUM(K15:K19)</f>
        <v>6.9</v>
      </c>
      <c r="L14" s="207" t="s">
        <v>534</v>
      </c>
    </row>
    <row r="15" spans="1:12" x14ac:dyDescent="0.25">
      <c r="A15" s="213">
        <v>1</v>
      </c>
      <c r="B15" s="214" t="s">
        <v>383</v>
      </c>
      <c r="C15" s="213">
        <f>16*4</f>
        <v>64</v>
      </c>
      <c r="D15" s="213">
        <v>1.5</v>
      </c>
      <c r="E15" s="213" t="s">
        <v>535</v>
      </c>
      <c r="F15" s="213">
        <v>1</v>
      </c>
      <c r="G15" s="213">
        <f>'trường phi KG '!C4</f>
        <v>9</v>
      </c>
      <c r="H15" s="223">
        <v>0.9</v>
      </c>
      <c r="I15" s="213">
        <v>3</v>
      </c>
      <c r="J15" s="213">
        <v>1</v>
      </c>
      <c r="K15" s="213">
        <f>D15*F15*H15*J15</f>
        <v>1.35</v>
      </c>
    </row>
    <row r="16" spans="1:12" x14ac:dyDescent="0.25">
      <c r="A16" s="213">
        <v>2</v>
      </c>
      <c r="B16" s="214" t="s">
        <v>384</v>
      </c>
      <c r="C16" s="213">
        <f>16*8</f>
        <v>128</v>
      </c>
      <c r="D16" s="213">
        <v>1.5</v>
      </c>
      <c r="E16" s="213" t="s">
        <v>535</v>
      </c>
      <c r="F16" s="213">
        <v>1</v>
      </c>
      <c r="G16" s="213">
        <f>'trường phi KG '!C14</f>
        <v>27</v>
      </c>
      <c r="H16" s="223">
        <v>1</v>
      </c>
      <c r="I16" s="213">
        <v>3</v>
      </c>
      <c r="J16" s="213">
        <v>1</v>
      </c>
      <c r="K16" s="213">
        <f t="shared" ref="K16:K26" si="0">D16*F16*H16*J16</f>
        <v>1.5</v>
      </c>
    </row>
    <row r="17" spans="1:13" x14ac:dyDescent="0.25">
      <c r="A17" s="213">
        <v>3</v>
      </c>
      <c r="B17" s="214" t="s">
        <v>385</v>
      </c>
      <c r="C17" s="213">
        <v>16</v>
      </c>
      <c r="D17" s="213">
        <v>1.5</v>
      </c>
      <c r="E17" s="213" t="s">
        <v>535</v>
      </c>
      <c r="F17" s="213">
        <v>1</v>
      </c>
      <c r="G17" s="213">
        <f>'trường phi KG '!C42</f>
        <v>11</v>
      </c>
      <c r="H17" s="223">
        <v>0.9</v>
      </c>
      <c r="I17" s="213">
        <v>3</v>
      </c>
      <c r="J17" s="213">
        <v>1</v>
      </c>
      <c r="K17" s="213">
        <f t="shared" si="0"/>
        <v>1.35</v>
      </c>
    </row>
    <row r="18" spans="1:13" x14ac:dyDescent="0.25">
      <c r="A18" s="213">
        <v>4</v>
      </c>
      <c r="B18" s="214" t="s">
        <v>386</v>
      </c>
      <c r="C18" s="213">
        <f>16*8</f>
        <v>128</v>
      </c>
      <c r="D18" s="213">
        <v>1.5</v>
      </c>
      <c r="E18" s="213" t="s">
        <v>535</v>
      </c>
      <c r="F18" s="213">
        <v>1</v>
      </c>
      <c r="G18" s="213">
        <f>'trường phi KG '!C54</f>
        <v>10</v>
      </c>
      <c r="H18" s="223">
        <v>0.9</v>
      </c>
      <c r="I18" s="213">
        <v>3</v>
      </c>
      <c r="J18" s="213">
        <v>1</v>
      </c>
      <c r="K18" s="213">
        <f t="shared" si="0"/>
        <v>1.35</v>
      </c>
      <c r="M18" s="207">
        <f>17*8</f>
        <v>136</v>
      </c>
    </row>
    <row r="19" spans="1:13" x14ac:dyDescent="0.25">
      <c r="A19" s="213">
        <v>5</v>
      </c>
      <c r="B19" s="214" t="s">
        <v>387</v>
      </c>
      <c r="C19" s="213">
        <v>16</v>
      </c>
      <c r="D19" s="213">
        <v>1.5</v>
      </c>
      <c r="E19" s="213" t="s">
        <v>535</v>
      </c>
      <c r="F19" s="213">
        <v>1</v>
      </c>
      <c r="G19" s="213">
        <f>'trường phi KG '!C65</f>
        <v>11</v>
      </c>
      <c r="H19" s="223">
        <v>0.9</v>
      </c>
      <c r="I19" s="213">
        <v>3</v>
      </c>
      <c r="J19" s="213">
        <v>1</v>
      </c>
      <c r="K19" s="213">
        <f t="shared" si="0"/>
        <v>1.35</v>
      </c>
    </row>
    <row r="20" spans="1:13" s="209" customFormat="1" x14ac:dyDescent="0.25">
      <c r="A20" s="211"/>
      <c r="B20" s="216" t="s">
        <v>536</v>
      </c>
      <c r="C20" s="211"/>
      <c r="D20" s="211"/>
      <c r="E20" s="211"/>
      <c r="F20" s="211"/>
      <c r="G20" s="211"/>
      <c r="H20" s="224"/>
      <c r="I20" s="211"/>
      <c r="J20" s="211"/>
      <c r="K20" s="224">
        <f>SUM(K21:K26)</f>
        <v>11.309999999999999</v>
      </c>
      <c r="L20" s="207" t="s">
        <v>534</v>
      </c>
    </row>
    <row r="21" spans="1:13" x14ac:dyDescent="0.25">
      <c r="A21" s="213">
        <v>1</v>
      </c>
      <c r="B21" s="214" t="s">
        <v>389</v>
      </c>
      <c r="C21" s="213">
        <v>8</v>
      </c>
      <c r="D21" s="213">
        <v>1.5</v>
      </c>
      <c r="E21" s="213" t="s">
        <v>537</v>
      </c>
      <c r="F21" s="213">
        <v>1.3</v>
      </c>
      <c r="G21" s="213">
        <f>'trường dữ liệu KG'!C4</f>
        <v>16</v>
      </c>
      <c r="H21" s="223">
        <v>1</v>
      </c>
      <c r="I21" s="213">
        <v>3</v>
      </c>
      <c r="J21" s="213">
        <v>1</v>
      </c>
      <c r="K21" s="213">
        <f t="shared" si="0"/>
        <v>1.9500000000000002</v>
      </c>
    </row>
    <row r="22" spans="1:13" x14ac:dyDescent="0.25">
      <c r="A22" s="213">
        <v>2</v>
      </c>
      <c r="B22" s="214" t="s">
        <v>390</v>
      </c>
      <c r="C22" s="213">
        <v>16</v>
      </c>
      <c r="D22" s="213">
        <v>1.5</v>
      </c>
      <c r="E22" s="213" t="s">
        <v>537</v>
      </c>
      <c r="F22" s="213">
        <v>1.3</v>
      </c>
      <c r="G22" s="213">
        <f>'trường dữ liệu KG'!C21</f>
        <v>10</v>
      </c>
      <c r="H22" s="223">
        <v>0.9</v>
      </c>
      <c r="I22" s="213">
        <v>3</v>
      </c>
      <c r="J22" s="213">
        <v>1</v>
      </c>
      <c r="K22" s="213">
        <f t="shared" si="0"/>
        <v>1.7550000000000001</v>
      </c>
    </row>
    <row r="23" spans="1:13" x14ac:dyDescent="0.25">
      <c r="A23" s="213">
        <v>3</v>
      </c>
      <c r="B23" s="214" t="s">
        <v>391</v>
      </c>
      <c r="C23" s="213">
        <v>16</v>
      </c>
      <c r="D23" s="213">
        <v>1.5</v>
      </c>
      <c r="E23" s="213" t="s">
        <v>537</v>
      </c>
      <c r="F23" s="213">
        <v>1.3</v>
      </c>
      <c r="G23" s="213">
        <f>'trường dữ liệu KG'!C32</f>
        <v>11</v>
      </c>
      <c r="H23" s="223">
        <v>0.9</v>
      </c>
      <c r="I23" s="213">
        <v>3</v>
      </c>
      <c r="J23" s="213">
        <v>1</v>
      </c>
      <c r="K23" s="213">
        <f t="shared" si="0"/>
        <v>1.7550000000000001</v>
      </c>
    </row>
    <row r="24" spans="1:13" x14ac:dyDescent="0.25">
      <c r="A24" s="213">
        <v>4</v>
      </c>
      <c r="B24" s="214" t="s">
        <v>392</v>
      </c>
      <c r="C24" s="213">
        <v>16</v>
      </c>
      <c r="D24" s="213">
        <v>1.5</v>
      </c>
      <c r="E24" s="213" t="s">
        <v>537</v>
      </c>
      <c r="F24" s="213">
        <v>1.3</v>
      </c>
      <c r="G24" s="213">
        <f>'trường dữ liệu KG'!C44</f>
        <v>16</v>
      </c>
      <c r="H24" s="223">
        <v>1</v>
      </c>
      <c r="I24" s="213">
        <v>3</v>
      </c>
      <c r="J24" s="213">
        <v>1</v>
      </c>
      <c r="K24" s="213">
        <f t="shared" si="0"/>
        <v>1.9500000000000002</v>
      </c>
    </row>
    <row r="25" spans="1:13" x14ac:dyDescent="0.25">
      <c r="A25" s="213">
        <v>5</v>
      </c>
      <c r="B25" s="214" t="s">
        <v>393</v>
      </c>
      <c r="C25" s="213">
        <v>25</v>
      </c>
      <c r="D25" s="213">
        <v>1.5</v>
      </c>
      <c r="E25" s="213" t="s">
        <v>537</v>
      </c>
      <c r="F25" s="213">
        <v>1.3</v>
      </c>
      <c r="G25" s="213">
        <f>'trường dữ liệu KG'!C61</f>
        <v>33</v>
      </c>
      <c r="H25" s="223">
        <v>1</v>
      </c>
      <c r="I25" s="213">
        <v>3</v>
      </c>
      <c r="J25" s="213">
        <v>1</v>
      </c>
      <c r="K25" s="213">
        <f t="shared" si="0"/>
        <v>1.9500000000000002</v>
      </c>
    </row>
    <row r="26" spans="1:13" x14ac:dyDescent="0.25">
      <c r="A26" s="213">
        <v>6</v>
      </c>
      <c r="B26" s="214" t="s">
        <v>394</v>
      </c>
      <c r="C26" s="213">
        <v>16</v>
      </c>
      <c r="D26" s="213">
        <v>1.5</v>
      </c>
      <c r="E26" s="213" t="s">
        <v>537</v>
      </c>
      <c r="F26" s="213">
        <v>1.3</v>
      </c>
      <c r="G26" s="213">
        <f>'trường dữ liệu KG'!C95</f>
        <v>29</v>
      </c>
      <c r="H26" s="223">
        <v>1</v>
      </c>
      <c r="I26" s="213">
        <v>3</v>
      </c>
      <c r="J26" s="213">
        <v>1</v>
      </c>
      <c r="K26" s="213">
        <f t="shared" si="0"/>
        <v>1.9500000000000002</v>
      </c>
    </row>
    <row r="27" spans="1:13" x14ac:dyDescent="0.25">
      <c r="A27" s="214"/>
      <c r="B27" s="513" t="s">
        <v>538</v>
      </c>
      <c r="C27" s="514"/>
      <c r="D27" s="514"/>
      <c r="E27" s="514"/>
      <c r="F27" s="514"/>
      <c r="G27" s="514"/>
      <c r="H27" s="514"/>
      <c r="I27" s="514"/>
      <c r="J27" s="514"/>
      <c r="K27" s="224">
        <f>K20+K14</f>
        <v>18.21</v>
      </c>
    </row>
  </sheetData>
  <mergeCells count="5">
    <mergeCell ref="A12:A13"/>
    <mergeCell ref="B12:B13"/>
    <mergeCell ref="C12:J12"/>
    <mergeCell ref="K12:K13"/>
    <mergeCell ref="B27:J27"/>
  </mergeCells>
  <printOptions horizontalCentered="1"/>
  <pageMargins left="0.27" right="0.2" top="0.74803149606299213" bottom="0.74803149606299213" header="0.31496062992125984" footer="0.31496062992125984"/>
  <pageSetup paperSize="9" orientation="landscape"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62"/>
  <sheetViews>
    <sheetView workbookViewId="0">
      <selection activeCell="B14" sqref="B14"/>
    </sheetView>
  </sheetViews>
  <sheetFormatPr defaultRowHeight="15" x14ac:dyDescent="0.25"/>
  <cols>
    <col min="1" max="1" width="5.7109375" customWidth="1"/>
    <col min="2" max="2" width="14.28515625" customWidth="1"/>
    <col min="4" max="4" width="10.7109375" customWidth="1"/>
    <col min="5" max="5" width="8" customWidth="1"/>
    <col min="6" max="6" width="9" customWidth="1"/>
    <col min="7" max="7" width="10.5703125" customWidth="1"/>
    <col min="8" max="8" width="11.140625" customWidth="1"/>
    <col min="9" max="9" width="10.140625" hidden="1" customWidth="1"/>
    <col min="10" max="10" width="10.5703125" customWidth="1"/>
    <col min="11" max="11" width="26.42578125" hidden="1" customWidth="1"/>
    <col min="12" max="12" width="15" hidden="1" customWidth="1"/>
    <col min="13" max="13" width="13.5703125" hidden="1" customWidth="1"/>
    <col min="14" max="15" width="8.7109375" customWidth="1"/>
    <col min="16" max="16" width="13.140625" customWidth="1"/>
    <col min="17" max="17" width="8.7109375" customWidth="1"/>
  </cols>
  <sheetData>
    <row r="1" spans="1:17" ht="15.75" x14ac:dyDescent="0.25">
      <c r="A1" s="273" t="s">
        <v>825</v>
      </c>
      <c r="B1" s="421"/>
      <c r="C1" s="421"/>
      <c r="D1" s="421"/>
      <c r="E1" s="421"/>
      <c r="F1" s="421"/>
      <c r="G1" s="421"/>
      <c r="H1" s="421"/>
      <c r="I1" s="421"/>
      <c r="J1" s="421"/>
      <c r="K1" s="421"/>
      <c r="L1" s="421"/>
      <c r="M1" s="421"/>
      <c r="N1" s="421"/>
      <c r="O1" s="421"/>
    </row>
    <row r="2" spans="1:17" ht="15.75" x14ac:dyDescent="0.25">
      <c r="A2" s="273"/>
      <c r="B2" s="421"/>
      <c r="C2" s="421"/>
      <c r="D2" s="421"/>
      <c r="E2" s="421"/>
      <c r="F2" s="421"/>
      <c r="G2" s="421"/>
      <c r="H2" s="421"/>
      <c r="I2" s="421"/>
      <c r="J2" s="421"/>
      <c r="K2" s="421"/>
      <c r="L2" s="421"/>
      <c r="M2" s="421"/>
      <c r="N2" s="421"/>
      <c r="O2" s="421"/>
    </row>
    <row r="3" spans="1:17" hidden="1" x14ac:dyDescent="0.25">
      <c r="J3" s="4">
        <v>2340000</v>
      </c>
      <c r="K3" s="1"/>
      <c r="L3" s="1"/>
      <c r="M3" s="1"/>
    </row>
    <row r="4" spans="1:17" ht="28.5" x14ac:dyDescent="0.25">
      <c r="A4" s="515" t="s">
        <v>0</v>
      </c>
      <c r="B4" s="515" t="s">
        <v>75</v>
      </c>
      <c r="C4" s="515" t="s">
        <v>76</v>
      </c>
      <c r="D4" s="515" t="s">
        <v>77</v>
      </c>
      <c r="E4" s="515" t="s">
        <v>78</v>
      </c>
      <c r="F4" s="515" t="s">
        <v>79</v>
      </c>
      <c r="G4" s="515" t="s">
        <v>80</v>
      </c>
      <c r="H4" s="515" t="s">
        <v>67</v>
      </c>
      <c r="I4" s="383" t="s">
        <v>81</v>
      </c>
      <c r="J4" s="383" t="s">
        <v>81</v>
      </c>
      <c r="K4" s="516" t="s">
        <v>253</v>
      </c>
      <c r="L4" s="518" t="s">
        <v>4</v>
      </c>
      <c r="M4" s="518" t="s">
        <v>5</v>
      </c>
      <c r="N4" s="6"/>
      <c r="O4" s="7"/>
      <c r="P4" s="8"/>
    </row>
    <row r="5" spans="1:17" ht="45" x14ac:dyDescent="0.25">
      <c r="A5" s="515"/>
      <c r="B5" s="515"/>
      <c r="C5" s="515"/>
      <c r="D5" s="515"/>
      <c r="E5" s="515"/>
      <c r="F5" s="515"/>
      <c r="G5" s="515"/>
      <c r="H5" s="515"/>
      <c r="I5" s="146" t="s">
        <v>82</v>
      </c>
      <c r="J5" s="146" t="s">
        <v>82</v>
      </c>
      <c r="K5" s="517"/>
      <c r="L5" s="519"/>
      <c r="M5" s="519"/>
      <c r="N5" s="6"/>
      <c r="O5" s="7"/>
      <c r="P5" s="10"/>
    </row>
    <row r="6" spans="1:17" x14ac:dyDescent="0.25">
      <c r="A6" s="11">
        <v>-1</v>
      </c>
      <c r="B6" s="11">
        <v>-2</v>
      </c>
      <c r="C6" s="11">
        <v>-3</v>
      </c>
      <c r="D6" s="11">
        <v>-4</v>
      </c>
      <c r="E6" s="11">
        <v>-5</v>
      </c>
      <c r="F6" s="11">
        <v>-6</v>
      </c>
      <c r="G6" s="11">
        <v>-7</v>
      </c>
      <c r="H6" s="11">
        <v>-8</v>
      </c>
      <c r="I6" s="11">
        <v>-9</v>
      </c>
      <c r="J6" s="1"/>
      <c r="K6" s="417" t="s">
        <v>83</v>
      </c>
      <c r="L6" s="12">
        <f>I9+I10*3</f>
        <v>1297120.5</v>
      </c>
      <c r="M6" s="12">
        <f>I26+3*I27</f>
        <v>1297120.5</v>
      </c>
      <c r="N6" s="6"/>
      <c r="O6" s="7"/>
      <c r="P6" s="10"/>
    </row>
    <row r="7" spans="1:17" ht="15.75" x14ac:dyDescent="0.25">
      <c r="A7" s="13" t="s">
        <v>10</v>
      </c>
      <c r="B7" s="14" t="s">
        <v>4</v>
      </c>
      <c r="C7" s="15"/>
      <c r="D7" s="15"/>
      <c r="E7" s="15"/>
      <c r="F7" s="15"/>
      <c r="G7" s="15"/>
      <c r="H7" s="15"/>
      <c r="I7" s="16"/>
      <c r="J7" s="1"/>
      <c r="K7" s="417" t="s">
        <v>84</v>
      </c>
      <c r="L7" s="12">
        <f>I10*2</f>
        <v>666900</v>
      </c>
      <c r="M7" s="12"/>
      <c r="N7" s="6"/>
      <c r="O7" s="17"/>
      <c r="P7" s="10"/>
    </row>
    <row r="8" spans="1:17" x14ac:dyDescent="0.25">
      <c r="A8" s="18">
        <v>1</v>
      </c>
      <c r="B8" s="19" t="s">
        <v>85</v>
      </c>
      <c r="C8" s="18">
        <v>2.34</v>
      </c>
      <c r="D8" s="20">
        <f>C8*$J$3</f>
        <v>5475600</v>
      </c>
      <c r="E8" s="21"/>
      <c r="F8" s="21"/>
      <c r="G8" s="20">
        <f>23.5%*D8</f>
        <v>1286766</v>
      </c>
      <c r="H8" s="20">
        <f>D8+E8+F8+G8</f>
        <v>6762366</v>
      </c>
      <c r="I8" s="20">
        <f t="shared" ref="I8:I31" si="0">H8/26</f>
        <v>260091</v>
      </c>
      <c r="J8" s="120">
        <f>H8/26</f>
        <v>260091</v>
      </c>
      <c r="K8" s="417" t="s">
        <v>86</v>
      </c>
      <c r="L8" s="12">
        <f>I9+I10*2</f>
        <v>963670.5</v>
      </c>
      <c r="M8" s="12">
        <f>I26+I27*2</f>
        <v>963670.5</v>
      </c>
      <c r="N8" s="22"/>
      <c r="O8" s="23"/>
      <c r="P8" s="23"/>
    </row>
    <row r="9" spans="1:17" ht="21" customHeight="1" x14ac:dyDescent="0.25">
      <c r="A9" s="18">
        <v>2</v>
      </c>
      <c r="B9" s="19" t="s">
        <v>87</v>
      </c>
      <c r="C9" s="18">
        <v>2.67</v>
      </c>
      <c r="D9" s="20">
        <f>C9*$J$3</f>
        <v>6247800</v>
      </c>
      <c r="E9" s="21"/>
      <c r="F9" s="21"/>
      <c r="G9" s="20">
        <f>23.5%*D9</f>
        <v>1468233</v>
      </c>
      <c r="H9" s="20">
        <f>D9+E9+F9+G9</f>
        <v>7716033</v>
      </c>
      <c r="I9" s="20">
        <f t="shared" si="0"/>
        <v>296770.5</v>
      </c>
      <c r="J9" s="120">
        <f t="shared" ref="J9:J31" si="1">H9/26</f>
        <v>296770.5</v>
      </c>
      <c r="K9" s="418" t="s">
        <v>88</v>
      </c>
      <c r="L9" s="12">
        <f>I10*4</f>
        <v>1333800</v>
      </c>
      <c r="M9" s="12"/>
      <c r="N9" s="24"/>
      <c r="O9" s="25"/>
      <c r="P9" s="25"/>
    </row>
    <row r="10" spans="1:17" ht="21" customHeight="1" x14ac:dyDescent="0.25">
      <c r="A10" s="18">
        <v>3</v>
      </c>
      <c r="B10" s="19" t="s">
        <v>89</v>
      </c>
      <c r="C10" s="18">
        <v>3</v>
      </c>
      <c r="D10" s="20">
        <f t="shared" ref="D10:D31" si="2">C10*$J$3</f>
        <v>7020000</v>
      </c>
      <c r="E10" s="21"/>
      <c r="F10" s="21"/>
      <c r="G10" s="20">
        <f>23.5%*D10</f>
        <v>1649700</v>
      </c>
      <c r="H10" s="20">
        <f t="shared" ref="H10:H31" si="3">D10+E10+F10+G10</f>
        <v>8669700</v>
      </c>
      <c r="I10" s="20">
        <f t="shared" si="0"/>
        <v>333450</v>
      </c>
      <c r="J10" s="120">
        <f t="shared" si="1"/>
        <v>333450</v>
      </c>
      <c r="K10" s="418" t="s">
        <v>90</v>
      </c>
      <c r="L10" s="12">
        <f>I9+I11</f>
        <v>666900</v>
      </c>
      <c r="M10" s="12"/>
      <c r="N10" s="26"/>
      <c r="O10" s="27"/>
      <c r="P10" s="10"/>
    </row>
    <row r="11" spans="1:17" ht="21" customHeight="1" x14ac:dyDescent="0.25">
      <c r="A11" s="18">
        <v>4</v>
      </c>
      <c r="B11" s="19" t="s">
        <v>91</v>
      </c>
      <c r="C11" s="18">
        <v>3.33</v>
      </c>
      <c r="D11" s="20">
        <f t="shared" si="2"/>
        <v>7792200</v>
      </c>
      <c r="E11" s="21"/>
      <c r="F11" s="21"/>
      <c r="G11" s="20">
        <f t="shared" ref="G11:G31" si="4">23.5%*D11</f>
        <v>1831167</v>
      </c>
      <c r="H11" s="20">
        <f t="shared" si="3"/>
        <v>9623367</v>
      </c>
      <c r="I11" s="20">
        <f t="shared" si="0"/>
        <v>370129.5</v>
      </c>
      <c r="J11" s="120">
        <f t="shared" si="1"/>
        <v>370129.5</v>
      </c>
      <c r="K11" s="418" t="s">
        <v>92</v>
      </c>
      <c r="L11" s="12">
        <f>I9*2+I10*2</f>
        <v>1260441</v>
      </c>
      <c r="M11" s="12"/>
      <c r="N11" s="26"/>
      <c r="O11" s="27"/>
      <c r="P11" s="28"/>
    </row>
    <row r="12" spans="1:17" ht="21" customHeight="1" x14ac:dyDescent="0.25">
      <c r="A12" s="18">
        <v>5</v>
      </c>
      <c r="B12" s="19" t="s">
        <v>93</v>
      </c>
      <c r="C12" s="18">
        <v>3.66</v>
      </c>
      <c r="D12" s="20">
        <f t="shared" si="2"/>
        <v>8564400</v>
      </c>
      <c r="E12" s="21"/>
      <c r="F12" s="21"/>
      <c r="G12" s="20">
        <f t="shared" si="4"/>
        <v>2012634</v>
      </c>
      <c r="H12" s="20">
        <f t="shared" si="3"/>
        <v>10577034</v>
      </c>
      <c r="I12" s="20">
        <f t="shared" si="0"/>
        <v>406809</v>
      </c>
      <c r="J12" s="120">
        <f t="shared" si="1"/>
        <v>406809</v>
      </c>
      <c r="K12" s="419" t="s">
        <v>94</v>
      </c>
      <c r="L12" s="53">
        <f>I11+I13</f>
        <v>813618</v>
      </c>
      <c r="M12" s="5"/>
      <c r="N12" s="26"/>
      <c r="O12" s="27"/>
      <c r="P12" s="29"/>
      <c r="Q12" s="29"/>
    </row>
    <row r="13" spans="1:17" ht="21" customHeight="1" x14ac:dyDescent="0.25">
      <c r="A13" s="18">
        <v>6</v>
      </c>
      <c r="B13" s="19" t="s">
        <v>95</v>
      </c>
      <c r="C13" s="18">
        <v>3.99</v>
      </c>
      <c r="D13" s="20">
        <f t="shared" si="2"/>
        <v>9336600</v>
      </c>
      <c r="E13" s="21"/>
      <c r="F13" s="21"/>
      <c r="G13" s="20">
        <f t="shared" si="4"/>
        <v>2194101</v>
      </c>
      <c r="H13" s="20">
        <f t="shared" si="3"/>
        <v>11530701</v>
      </c>
      <c r="I13" s="20">
        <f t="shared" si="0"/>
        <v>443488.5</v>
      </c>
      <c r="J13" s="120">
        <f t="shared" si="1"/>
        <v>443488.5</v>
      </c>
      <c r="K13" s="420" t="s">
        <v>25</v>
      </c>
      <c r="L13" s="51"/>
      <c r="M13" s="52">
        <f>I26+I27</f>
        <v>630220.5</v>
      </c>
      <c r="N13" s="26"/>
      <c r="O13" s="27"/>
      <c r="P13" s="29"/>
    </row>
    <row r="14" spans="1:17" ht="23.25" customHeight="1" x14ac:dyDescent="0.25">
      <c r="A14" s="18">
        <v>7</v>
      </c>
      <c r="B14" s="19" t="s">
        <v>96</v>
      </c>
      <c r="C14" s="18">
        <v>4.74</v>
      </c>
      <c r="D14" s="20">
        <f t="shared" si="2"/>
        <v>11091600</v>
      </c>
      <c r="E14" s="21"/>
      <c r="F14" s="21"/>
      <c r="G14" s="20">
        <f t="shared" si="4"/>
        <v>2606526</v>
      </c>
      <c r="H14" s="20">
        <f t="shared" si="3"/>
        <v>13698126</v>
      </c>
      <c r="I14" s="20">
        <f t="shared" si="0"/>
        <v>526851</v>
      </c>
      <c r="J14" s="120">
        <f t="shared" si="1"/>
        <v>526851</v>
      </c>
      <c r="K14" s="420" t="s">
        <v>32</v>
      </c>
      <c r="L14" s="52">
        <f>I10+I14</f>
        <v>860301</v>
      </c>
      <c r="M14" s="1"/>
      <c r="N14" s="26"/>
      <c r="O14" s="27"/>
      <c r="P14" s="29"/>
    </row>
    <row r="15" spans="1:17" ht="23.25" customHeight="1" x14ac:dyDescent="0.25">
      <c r="A15" s="18">
        <v>8</v>
      </c>
      <c r="B15" s="19" t="s">
        <v>97</v>
      </c>
      <c r="C15" s="18">
        <v>2.46</v>
      </c>
      <c r="D15" s="20">
        <f t="shared" si="2"/>
        <v>5756400</v>
      </c>
      <c r="E15" s="21"/>
      <c r="F15" s="21"/>
      <c r="G15" s="20">
        <f t="shared" si="4"/>
        <v>1352754</v>
      </c>
      <c r="H15" s="20">
        <f t="shared" si="3"/>
        <v>7109154</v>
      </c>
      <c r="I15" s="20">
        <f t="shared" si="0"/>
        <v>273429</v>
      </c>
      <c r="J15" s="120">
        <f t="shared" si="1"/>
        <v>273429</v>
      </c>
      <c r="K15" t="s">
        <v>151</v>
      </c>
      <c r="L15" s="52">
        <f>I17+2*I10</f>
        <v>984789</v>
      </c>
      <c r="M15" s="24"/>
      <c r="N15" s="24"/>
      <c r="O15" s="25"/>
      <c r="P15" s="25"/>
    </row>
    <row r="16" spans="1:17" ht="23.25" customHeight="1" x14ac:dyDescent="0.25">
      <c r="A16" s="18">
        <v>9</v>
      </c>
      <c r="B16" s="19" t="s">
        <v>98</v>
      </c>
      <c r="C16" s="18">
        <v>2.66</v>
      </c>
      <c r="D16" s="20">
        <f t="shared" si="2"/>
        <v>6224400</v>
      </c>
      <c r="E16" s="21"/>
      <c r="F16" s="21"/>
      <c r="G16" s="20">
        <f t="shared" si="4"/>
        <v>1462734</v>
      </c>
      <c r="H16" s="20">
        <f t="shared" si="3"/>
        <v>7687134</v>
      </c>
      <c r="I16" s="20">
        <f t="shared" si="0"/>
        <v>295659</v>
      </c>
      <c r="J16" s="120">
        <f t="shared" si="1"/>
        <v>295659</v>
      </c>
      <c r="K16" t="s">
        <v>187</v>
      </c>
      <c r="L16" s="52">
        <f>I10+I12</f>
        <v>740259</v>
      </c>
      <c r="M16" s="22"/>
      <c r="N16" s="22"/>
      <c r="O16" s="33"/>
      <c r="P16" s="33"/>
    </row>
    <row r="17" spans="1:16" ht="23.25" customHeight="1" x14ac:dyDescent="0.25">
      <c r="A17" s="18">
        <v>10</v>
      </c>
      <c r="B17" s="19" t="s">
        <v>99</v>
      </c>
      <c r="C17" s="18">
        <v>2.86</v>
      </c>
      <c r="D17" s="20">
        <f t="shared" si="2"/>
        <v>6692400</v>
      </c>
      <c r="E17" s="21"/>
      <c r="F17" s="21"/>
      <c r="G17" s="20">
        <f t="shared" si="4"/>
        <v>1572714</v>
      </c>
      <c r="H17" s="20">
        <f t="shared" si="3"/>
        <v>8265114</v>
      </c>
      <c r="I17" s="20">
        <f t="shared" si="0"/>
        <v>317889</v>
      </c>
      <c r="J17" s="120">
        <f t="shared" si="1"/>
        <v>317889</v>
      </c>
      <c r="K17" t="s">
        <v>187</v>
      </c>
      <c r="L17" s="114">
        <f>I10+I12</f>
        <v>740259</v>
      </c>
      <c r="M17" s="22"/>
      <c r="N17" s="22"/>
      <c r="O17" s="33"/>
      <c r="P17" s="33"/>
    </row>
    <row r="18" spans="1:16" ht="23.25" customHeight="1" x14ac:dyDescent="0.25">
      <c r="A18" s="13" t="s">
        <v>57</v>
      </c>
      <c r="B18" s="14" t="s">
        <v>100</v>
      </c>
      <c r="C18" s="15"/>
      <c r="D18" s="15"/>
      <c r="E18" s="15"/>
      <c r="F18" s="15"/>
      <c r="G18" s="15"/>
      <c r="H18" s="15"/>
      <c r="I18" s="15"/>
      <c r="J18" s="120">
        <f t="shared" si="1"/>
        <v>0</v>
      </c>
      <c r="K18" t="s">
        <v>188</v>
      </c>
      <c r="L18" s="114">
        <f>I17+I12</f>
        <v>724698</v>
      </c>
      <c r="M18" s="22"/>
      <c r="N18" s="22"/>
      <c r="O18" s="33"/>
      <c r="P18" s="33"/>
    </row>
    <row r="19" spans="1:16" ht="23.25" customHeight="1" x14ac:dyDescent="0.25">
      <c r="A19" s="18">
        <v>1</v>
      </c>
      <c r="B19" s="19" t="s">
        <v>87</v>
      </c>
      <c r="C19" s="18">
        <v>2.67</v>
      </c>
      <c r="D19" s="20">
        <f t="shared" si="2"/>
        <v>6247800</v>
      </c>
      <c r="E19" s="21"/>
      <c r="F19" s="34">
        <f>0.2*$J$3</f>
        <v>468000</v>
      </c>
      <c r="G19" s="20">
        <f t="shared" si="4"/>
        <v>1468233</v>
      </c>
      <c r="H19" s="20">
        <f t="shared" si="3"/>
        <v>8184033</v>
      </c>
      <c r="I19" s="20">
        <f t="shared" si="0"/>
        <v>314770.5</v>
      </c>
      <c r="J19" s="120">
        <f t="shared" si="1"/>
        <v>314770.5</v>
      </c>
      <c r="K19" t="s">
        <v>36</v>
      </c>
      <c r="L19" s="115">
        <f>I11+I13+I14</f>
        <v>1340469</v>
      </c>
      <c r="M19" s="22"/>
      <c r="N19" s="22"/>
      <c r="O19" s="33"/>
      <c r="P19" s="29"/>
    </row>
    <row r="20" spans="1:16" ht="23.25" customHeight="1" x14ac:dyDescent="0.25">
      <c r="A20" s="18">
        <v>2</v>
      </c>
      <c r="B20" s="19" t="s">
        <v>89</v>
      </c>
      <c r="C20" s="18">
        <v>3</v>
      </c>
      <c r="D20" s="20">
        <f t="shared" si="2"/>
        <v>7020000</v>
      </c>
      <c r="E20" s="21"/>
      <c r="F20" s="34">
        <f>0.2*$J$3</f>
        <v>468000</v>
      </c>
      <c r="G20" s="20">
        <f t="shared" si="4"/>
        <v>1649700</v>
      </c>
      <c r="H20" s="20">
        <f t="shared" si="3"/>
        <v>9137700</v>
      </c>
      <c r="I20" s="20">
        <f t="shared" si="0"/>
        <v>351450</v>
      </c>
      <c r="J20" s="120">
        <f t="shared" si="1"/>
        <v>351450</v>
      </c>
      <c r="L20" s="32"/>
      <c r="M20" s="22"/>
      <c r="N20" s="22"/>
      <c r="O20" s="33"/>
      <c r="P20" s="33"/>
    </row>
    <row r="21" spans="1:16" ht="23.25" customHeight="1" x14ac:dyDescent="0.25">
      <c r="A21" s="18">
        <v>3</v>
      </c>
      <c r="B21" s="19" t="s">
        <v>91</v>
      </c>
      <c r="C21" s="18">
        <v>3.33</v>
      </c>
      <c r="D21" s="20">
        <f t="shared" si="2"/>
        <v>7792200</v>
      </c>
      <c r="E21" s="21"/>
      <c r="F21" s="34">
        <f>0.2*$J$3</f>
        <v>468000</v>
      </c>
      <c r="G21" s="20">
        <f t="shared" si="4"/>
        <v>1831167</v>
      </c>
      <c r="H21" s="20">
        <f t="shared" si="3"/>
        <v>10091367</v>
      </c>
      <c r="I21" s="20">
        <f t="shared" si="0"/>
        <v>388129.5</v>
      </c>
      <c r="J21" s="120">
        <f t="shared" si="1"/>
        <v>388129.5</v>
      </c>
      <c r="L21" s="32"/>
      <c r="M21" s="22"/>
      <c r="N21" s="22"/>
      <c r="O21" s="33"/>
      <c r="P21" s="33"/>
    </row>
    <row r="22" spans="1:16" ht="23.25" customHeight="1" x14ac:dyDescent="0.25">
      <c r="A22" s="18">
        <v>4</v>
      </c>
      <c r="B22" s="19" t="s">
        <v>93</v>
      </c>
      <c r="C22" s="18">
        <v>3.66</v>
      </c>
      <c r="D22" s="20">
        <f t="shared" si="2"/>
        <v>8564400</v>
      </c>
      <c r="E22" s="21"/>
      <c r="F22" s="34">
        <f>0.2*$J$3</f>
        <v>468000</v>
      </c>
      <c r="G22" s="20">
        <f t="shared" si="4"/>
        <v>2012634</v>
      </c>
      <c r="H22" s="20">
        <f t="shared" si="3"/>
        <v>11045034</v>
      </c>
      <c r="I22" s="20">
        <f t="shared" si="0"/>
        <v>424809</v>
      </c>
      <c r="J22" s="120">
        <f t="shared" si="1"/>
        <v>424809</v>
      </c>
      <c r="L22" s="32"/>
      <c r="M22" s="22"/>
      <c r="N22" s="22"/>
      <c r="O22" s="33"/>
      <c r="P22" s="33"/>
    </row>
    <row r="23" spans="1:16" ht="23.25" customHeight="1" x14ac:dyDescent="0.25">
      <c r="A23" s="18">
        <v>5</v>
      </c>
      <c r="B23" s="19" t="s">
        <v>95</v>
      </c>
      <c r="C23" s="18">
        <v>3.99</v>
      </c>
      <c r="D23" s="20">
        <f t="shared" si="2"/>
        <v>9336600</v>
      </c>
      <c r="E23" s="21"/>
      <c r="F23" s="34">
        <f>0.2*$J$3</f>
        <v>468000</v>
      </c>
      <c r="G23" s="20">
        <f t="shared" si="4"/>
        <v>2194101</v>
      </c>
      <c r="H23" s="20">
        <f t="shared" si="3"/>
        <v>11998701</v>
      </c>
      <c r="I23" s="20">
        <f t="shared" si="0"/>
        <v>461488.5</v>
      </c>
      <c r="J23" s="120">
        <f t="shared" si="1"/>
        <v>461488.5</v>
      </c>
      <c r="L23" s="31"/>
      <c r="M23" s="24"/>
      <c r="N23" s="24"/>
      <c r="O23" s="35"/>
      <c r="P23" s="35"/>
    </row>
    <row r="24" spans="1:16" ht="23.25" customHeight="1" x14ac:dyDescent="0.25">
      <c r="A24" s="13" t="s">
        <v>58</v>
      </c>
      <c r="B24" s="14" t="s">
        <v>5</v>
      </c>
      <c r="C24" s="15"/>
      <c r="D24" s="15"/>
      <c r="E24" s="15"/>
      <c r="F24" s="15"/>
      <c r="G24" s="15"/>
      <c r="H24" s="15"/>
      <c r="I24" s="15"/>
      <c r="J24" s="120">
        <f t="shared" si="1"/>
        <v>0</v>
      </c>
      <c r="L24" s="32"/>
      <c r="M24" s="6"/>
      <c r="N24" s="36"/>
      <c r="O24" s="37"/>
      <c r="P24" s="29"/>
    </row>
    <row r="25" spans="1:16" ht="23.25" customHeight="1" x14ac:dyDescent="0.25">
      <c r="A25" s="18">
        <v>1</v>
      </c>
      <c r="B25" s="19" t="s">
        <v>85</v>
      </c>
      <c r="C25" s="18">
        <v>2.34</v>
      </c>
      <c r="D25" s="20">
        <f>C25*$J$3</f>
        <v>5475600</v>
      </c>
      <c r="E25" s="34"/>
      <c r="F25" s="21"/>
      <c r="G25" s="20">
        <f t="shared" si="4"/>
        <v>1286766</v>
      </c>
      <c r="H25" s="20">
        <f t="shared" si="3"/>
        <v>6762366</v>
      </c>
      <c r="I25" s="20">
        <f t="shared" si="0"/>
        <v>260091</v>
      </c>
      <c r="J25" s="120">
        <f>H25/26</f>
        <v>260091</v>
      </c>
      <c r="L25" s="32"/>
      <c r="M25" s="6"/>
      <c r="N25" s="36"/>
      <c r="O25" s="37"/>
      <c r="P25" s="29"/>
    </row>
    <row r="26" spans="1:16" ht="23.25" customHeight="1" x14ac:dyDescent="0.25">
      <c r="A26" s="18">
        <v>2</v>
      </c>
      <c r="B26" s="19" t="s">
        <v>87</v>
      </c>
      <c r="C26" s="18">
        <v>2.67</v>
      </c>
      <c r="D26" s="20">
        <f t="shared" si="2"/>
        <v>6247800</v>
      </c>
      <c r="E26" s="34"/>
      <c r="F26" s="21"/>
      <c r="G26" s="20">
        <f t="shared" si="4"/>
        <v>1468233</v>
      </c>
      <c r="H26" s="20">
        <f t="shared" si="3"/>
        <v>7716033</v>
      </c>
      <c r="I26" s="20">
        <f t="shared" si="0"/>
        <v>296770.5</v>
      </c>
      <c r="J26" s="120">
        <f t="shared" si="1"/>
        <v>296770.5</v>
      </c>
      <c r="L26" s="32"/>
      <c r="M26" s="6"/>
      <c r="N26" s="36"/>
      <c r="O26" s="37"/>
      <c r="P26" s="38"/>
    </row>
    <row r="27" spans="1:16" ht="23.25" customHeight="1" x14ac:dyDescent="0.25">
      <c r="A27" s="18">
        <v>3</v>
      </c>
      <c r="B27" s="19" t="s">
        <v>89</v>
      </c>
      <c r="C27" s="18">
        <v>3</v>
      </c>
      <c r="D27" s="20">
        <f t="shared" si="2"/>
        <v>7020000</v>
      </c>
      <c r="E27" s="34"/>
      <c r="F27" s="21"/>
      <c r="G27" s="20">
        <f t="shared" si="4"/>
        <v>1649700</v>
      </c>
      <c r="H27" s="20">
        <f t="shared" si="3"/>
        <v>8669700</v>
      </c>
      <c r="I27" s="20">
        <f t="shared" si="0"/>
        <v>333450</v>
      </c>
      <c r="J27" s="120">
        <f t="shared" si="1"/>
        <v>333450</v>
      </c>
      <c r="L27" s="31"/>
      <c r="M27" s="24"/>
      <c r="N27" s="24"/>
      <c r="O27" s="35"/>
      <c r="P27" s="35"/>
    </row>
    <row r="28" spans="1:16" ht="23.25" customHeight="1" x14ac:dyDescent="0.25">
      <c r="A28" s="18">
        <v>4</v>
      </c>
      <c r="B28" s="19" t="s">
        <v>91</v>
      </c>
      <c r="C28" s="18">
        <v>3.33</v>
      </c>
      <c r="D28" s="20">
        <f t="shared" si="2"/>
        <v>7792200</v>
      </c>
      <c r="E28" s="34"/>
      <c r="F28" s="21"/>
      <c r="G28" s="20">
        <f t="shared" si="4"/>
        <v>1831167</v>
      </c>
      <c r="H28" s="20">
        <f t="shared" si="3"/>
        <v>9623367</v>
      </c>
      <c r="I28" s="20">
        <f t="shared" si="0"/>
        <v>370129.5</v>
      </c>
      <c r="J28" s="120">
        <f t="shared" si="1"/>
        <v>370129.5</v>
      </c>
      <c r="L28" s="30"/>
      <c r="M28" s="39"/>
      <c r="N28" s="39"/>
      <c r="O28" s="29"/>
      <c r="P28" s="29"/>
    </row>
    <row r="29" spans="1:16" ht="23.25" customHeight="1" x14ac:dyDescent="0.25">
      <c r="A29" s="18">
        <v>5</v>
      </c>
      <c r="B29" s="19" t="s">
        <v>95</v>
      </c>
      <c r="C29" s="18">
        <v>3.99</v>
      </c>
      <c r="D29" s="20">
        <f t="shared" si="2"/>
        <v>9336600</v>
      </c>
      <c r="E29" s="34"/>
      <c r="F29" s="21"/>
      <c r="G29" s="20">
        <f t="shared" si="4"/>
        <v>2194101</v>
      </c>
      <c r="H29" s="20">
        <f t="shared" si="3"/>
        <v>11530701</v>
      </c>
      <c r="I29" s="20">
        <f t="shared" si="0"/>
        <v>443488.5</v>
      </c>
      <c r="J29" s="120">
        <f t="shared" si="1"/>
        <v>443488.5</v>
      </c>
      <c r="L29" s="40"/>
      <c r="M29" s="39"/>
      <c r="N29" s="39"/>
      <c r="O29" s="29"/>
      <c r="P29" s="29"/>
    </row>
    <row r="30" spans="1:16" ht="23.25" customHeight="1" x14ac:dyDescent="0.25">
      <c r="A30" s="18">
        <v>6</v>
      </c>
      <c r="B30" s="19" t="s">
        <v>97</v>
      </c>
      <c r="C30" s="18">
        <v>2.46</v>
      </c>
      <c r="D30" s="20">
        <f t="shared" si="2"/>
        <v>5756400</v>
      </c>
      <c r="E30" s="34"/>
      <c r="F30" s="21"/>
      <c r="G30" s="20">
        <f t="shared" si="4"/>
        <v>1352754</v>
      </c>
      <c r="H30" s="20">
        <f t="shared" si="3"/>
        <v>7109154</v>
      </c>
      <c r="I30" s="20">
        <f t="shared" si="0"/>
        <v>273429</v>
      </c>
      <c r="J30" s="120">
        <f t="shared" si="1"/>
        <v>273429</v>
      </c>
      <c r="L30" s="40"/>
      <c r="M30" s="39"/>
      <c r="N30" s="39"/>
      <c r="O30" s="29"/>
      <c r="P30" s="29"/>
    </row>
    <row r="31" spans="1:16" ht="23.25" customHeight="1" x14ac:dyDescent="0.25">
      <c r="A31" s="18">
        <v>7</v>
      </c>
      <c r="B31" s="19" t="s">
        <v>99</v>
      </c>
      <c r="C31" s="18">
        <v>2.86</v>
      </c>
      <c r="D31" s="20">
        <f t="shared" si="2"/>
        <v>6692400</v>
      </c>
      <c r="E31" s="34"/>
      <c r="F31" s="21"/>
      <c r="G31" s="20">
        <f t="shared" si="4"/>
        <v>1572714</v>
      </c>
      <c r="H31" s="20">
        <f t="shared" si="3"/>
        <v>8265114</v>
      </c>
      <c r="I31" s="20">
        <f t="shared" si="0"/>
        <v>317889</v>
      </c>
      <c r="J31" s="120">
        <f t="shared" si="1"/>
        <v>317889</v>
      </c>
      <c r="L31" s="40"/>
      <c r="M31" s="39"/>
      <c r="N31" s="39"/>
      <c r="O31" s="29"/>
      <c r="P31" s="29"/>
    </row>
    <row r="32" spans="1:16" ht="15.75" x14ac:dyDescent="0.25">
      <c r="L32" s="40"/>
      <c r="M32" s="39"/>
      <c r="N32" s="39"/>
      <c r="O32" s="29"/>
      <c r="P32" s="29"/>
    </row>
    <row r="33" spans="12:16" ht="15.75" x14ac:dyDescent="0.25">
      <c r="L33" s="40"/>
      <c r="M33" s="39"/>
      <c r="N33" s="39"/>
      <c r="O33" s="29"/>
      <c r="P33" s="29"/>
    </row>
    <row r="34" spans="12:16" ht="15.75" x14ac:dyDescent="0.25">
      <c r="L34" s="40"/>
      <c r="M34" s="41"/>
      <c r="N34" s="41"/>
      <c r="O34" s="29"/>
      <c r="P34" s="38"/>
    </row>
    <row r="35" spans="12:16" ht="15.75" x14ac:dyDescent="0.25">
      <c r="L35" s="40"/>
      <c r="M35" s="39"/>
      <c r="N35" s="39"/>
      <c r="O35" s="29"/>
      <c r="P35" s="29"/>
    </row>
    <row r="36" spans="12:16" ht="15.75" x14ac:dyDescent="0.25">
      <c r="L36" s="40"/>
      <c r="M36" s="39"/>
      <c r="N36" s="39"/>
      <c r="O36" s="29"/>
      <c r="P36" s="29"/>
    </row>
    <row r="37" spans="12:16" ht="15.75" x14ac:dyDescent="0.25">
      <c r="L37" s="40"/>
      <c r="M37" s="39"/>
      <c r="N37" s="39"/>
      <c r="O37" s="29"/>
      <c r="P37" s="29"/>
    </row>
    <row r="38" spans="12:16" ht="15.75" x14ac:dyDescent="0.25">
      <c r="L38" s="40"/>
      <c r="M38" s="39"/>
      <c r="N38" s="39"/>
      <c r="O38" s="29"/>
      <c r="P38" s="29"/>
    </row>
    <row r="39" spans="12:16" ht="15.75" x14ac:dyDescent="0.25">
      <c r="L39" s="40"/>
      <c r="M39" s="39"/>
      <c r="N39" s="39"/>
      <c r="O39" s="29"/>
      <c r="P39" s="29"/>
    </row>
    <row r="40" spans="12:16" ht="15.75" x14ac:dyDescent="0.25">
      <c r="L40" s="40"/>
      <c r="M40" s="39"/>
      <c r="N40" s="39"/>
      <c r="O40" s="29"/>
      <c r="P40" s="29"/>
    </row>
    <row r="41" spans="12:16" ht="15.75" x14ac:dyDescent="0.25">
      <c r="L41" s="40"/>
      <c r="M41" s="39"/>
      <c r="N41" s="39"/>
      <c r="O41" s="29"/>
      <c r="P41" s="29"/>
    </row>
    <row r="42" spans="12:16" ht="15.75" x14ac:dyDescent="0.25">
      <c r="L42" s="42"/>
      <c r="M42" s="43"/>
      <c r="N42" s="43"/>
      <c r="O42" s="44"/>
      <c r="P42" s="44"/>
    </row>
    <row r="43" spans="12:16" ht="15.75" x14ac:dyDescent="0.25">
      <c r="L43" s="40"/>
      <c r="M43" s="6"/>
      <c r="N43" s="36"/>
      <c r="O43" s="37"/>
      <c r="P43" s="29"/>
    </row>
    <row r="44" spans="12:16" ht="15.75" x14ac:dyDescent="0.25">
      <c r="L44" s="40"/>
      <c r="M44" s="36"/>
      <c r="N44" s="36"/>
      <c r="O44" s="37"/>
      <c r="P44" s="38"/>
    </row>
    <row r="45" spans="12:16" ht="18.75" x14ac:dyDescent="0.25">
      <c r="L45" s="45"/>
      <c r="M45" s="36"/>
      <c r="N45" s="36"/>
      <c r="O45" s="37"/>
      <c r="P45" s="38"/>
    </row>
    <row r="46" spans="12:16" ht="15.75" x14ac:dyDescent="0.25">
      <c r="L46" s="42"/>
      <c r="M46" s="36"/>
      <c r="N46" s="36"/>
      <c r="O46" s="37"/>
      <c r="P46" s="38"/>
    </row>
    <row r="47" spans="12:16" ht="15.75" x14ac:dyDescent="0.25">
      <c r="L47" s="40"/>
      <c r="M47" s="6"/>
      <c r="N47" s="37"/>
      <c r="O47" s="37"/>
      <c r="P47" s="29"/>
    </row>
    <row r="48" spans="12:16" ht="15.75" x14ac:dyDescent="0.25">
      <c r="L48" s="40"/>
      <c r="M48" s="6"/>
      <c r="N48" s="37"/>
      <c r="O48" s="37"/>
      <c r="P48" s="29"/>
    </row>
    <row r="49" spans="12:16" ht="15.75" x14ac:dyDescent="0.25">
      <c r="L49" s="40"/>
      <c r="M49" s="6"/>
      <c r="N49" s="37"/>
      <c r="O49" s="37"/>
      <c r="P49" s="29"/>
    </row>
    <row r="50" spans="12:16" ht="15.75" x14ac:dyDescent="0.25">
      <c r="L50" s="40"/>
      <c r="M50" s="6"/>
      <c r="N50" s="37"/>
      <c r="O50" s="37"/>
      <c r="P50" s="29"/>
    </row>
    <row r="51" spans="12:16" ht="18.75" x14ac:dyDescent="0.25">
      <c r="L51" s="45"/>
      <c r="M51" s="36"/>
      <c r="N51" s="36"/>
      <c r="O51" s="36"/>
      <c r="P51" s="38"/>
    </row>
    <row r="52" spans="12:16" ht="15.75" x14ac:dyDescent="0.25">
      <c r="L52" s="42"/>
      <c r="M52" s="36"/>
      <c r="N52" s="36"/>
      <c r="O52" s="36"/>
      <c r="P52" s="38"/>
    </row>
    <row r="53" spans="12:16" ht="15.75" x14ac:dyDescent="0.25">
      <c r="L53" s="40"/>
      <c r="M53" s="41"/>
      <c r="N53" s="36"/>
      <c r="O53" s="37"/>
      <c r="P53" s="29"/>
    </row>
    <row r="54" spans="12:16" ht="15.75" x14ac:dyDescent="0.25">
      <c r="L54" s="40"/>
      <c r="M54" s="41"/>
      <c r="N54" s="36"/>
      <c r="O54" s="37"/>
      <c r="P54" s="29"/>
    </row>
    <row r="55" spans="12:16" ht="15.75" x14ac:dyDescent="0.25">
      <c r="L55" s="40"/>
      <c r="M55" s="41"/>
      <c r="N55" s="36"/>
      <c r="O55" s="37"/>
      <c r="P55" s="29"/>
    </row>
    <row r="56" spans="12:16" ht="15.75" x14ac:dyDescent="0.25">
      <c r="L56" s="40"/>
      <c r="M56" s="36"/>
      <c r="N56" s="36"/>
      <c r="O56" s="36"/>
      <c r="P56" s="38"/>
    </row>
    <row r="57" spans="12:16" ht="15.75" x14ac:dyDescent="0.25">
      <c r="L57" s="42"/>
      <c r="M57" s="36"/>
      <c r="N57" s="36"/>
      <c r="O57" s="36"/>
      <c r="P57" s="38"/>
    </row>
    <row r="58" spans="12:16" ht="15.75" x14ac:dyDescent="0.25">
      <c r="L58" s="40"/>
      <c r="M58" s="41"/>
      <c r="N58" s="36"/>
      <c r="O58" s="36"/>
      <c r="P58" s="29"/>
    </row>
    <row r="59" spans="12:16" ht="15.75" x14ac:dyDescent="0.25">
      <c r="L59" s="40"/>
      <c r="M59" s="41"/>
      <c r="N59" s="36"/>
      <c r="O59" s="36"/>
      <c r="P59" s="29"/>
    </row>
    <row r="60" spans="12:16" ht="15.75" x14ac:dyDescent="0.25">
      <c r="L60" s="40"/>
      <c r="M60" s="41"/>
      <c r="N60" s="36"/>
      <c r="O60" s="36"/>
      <c r="P60" s="29"/>
    </row>
    <row r="61" spans="12:16" ht="15.75" x14ac:dyDescent="0.25">
      <c r="L61" s="46"/>
      <c r="M61" s="41"/>
      <c r="N61" s="46"/>
      <c r="O61" s="46"/>
      <c r="P61" s="47"/>
    </row>
    <row r="62" spans="12:16" ht="15.75" x14ac:dyDescent="0.25">
      <c r="L62" s="48"/>
      <c r="M62" s="49"/>
      <c r="N62" s="49"/>
      <c r="O62" s="50"/>
      <c r="P62" s="50"/>
    </row>
  </sheetData>
  <mergeCells count="11">
    <mergeCell ref="F4:F5"/>
    <mergeCell ref="K4:K5"/>
    <mergeCell ref="L4:L5"/>
    <mergeCell ref="M4:M5"/>
    <mergeCell ref="G4:G5"/>
    <mergeCell ref="H4:H5"/>
    <mergeCell ref="A4:A5"/>
    <mergeCell ref="B4:B5"/>
    <mergeCell ref="C4:C5"/>
    <mergeCell ref="D4:D5"/>
    <mergeCell ref="E4:E5"/>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1"/>
  <sheetViews>
    <sheetView workbookViewId="0">
      <selection activeCell="G4" sqref="G4:G20"/>
    </sheetView>
  </sheetViews>
  <sheetFormatPr defaultRowHeight="15" x14ac:dyDescent="0.25"/>
  <cols>
    <col min="1" max="1" width="6.140625" style="407" customWidth="1"/>
    <col min="2" max="2" width="20.28515625" style="407" bestFit="1" customWidth="1"/>
    <col min="3" max="3" width="12.7109375" style="407" bestFit="1" customWidth="1"/>
    <col min="4" max="4" width="12.140625" style="407" customWidth="1"/>
    <col min="5" max="5" width="11.28515625" style="407" customWidth="1"/>
    <col min="6" max="6" width="14" style="407" customWidth="1"/>
    <col min="7" max="7" width="11.140625" style="407" customWidth="1"/>
    <col min="8" max="16384" width="9.140625" style="407"/>
  </cols>
  <sheetData>
    <row r="1" spans="1:8" x14ac:dyDescent="0.25">
      <c r="A1" s="498" t="s">
        <v>823</v>
      </c>
      <c r="B1" s="498"/>
      <c r="C1" s="498"/>
      <c r="D1" s="498"/>
      <c r="E1" s="498"/>
      <c r="F1" s="498"/>
      <c r="G1" s="498"/>
    </row>
    <row r="2" spans="1:8" x14ac:dyDescent="0.25">
      <c r="A2" s="415"/>
    </row>
    <row r="3" spans="1:8" ht="28.5" x14ac:dyDescent="0.25">
      <c r="A3" s="434" t="s">
        <v>59</v>
      </c>
      <c r="B3" s="434" t="s">
        <v>60</v>
      </c>
      <c r="C3" s="434" t="s">
        <v>62</v>
      </c>
      <c r="D3" s="434" t="s">
        <v>63</v>
      </c>
      <c r="E3" s="434" t="s">
        <v>64</v>
      </c>
      <c r="F3" s="434" t="s">
        <v>65</v>
      </c>
      <c r="G3" s="434" t="s">
        <v>66</v>
      </c>
    </row>
    <row r="4" spans="1:8" x14ac:dyDescent="0.25">
      <c r="A4" s="402">
        <v>1</v>
      </c>
      <c r="B4" s="399" t="s">
        <v>205</v>
      </c>
      <c r="C4" s="416">
        <v>5412.2460000000001</v>
      </c>
      <c r="D4" s="400">
        <v>577.74579999999992</v>
      </c>
      <c r="E4" s="399">
        <v>33</v>
      </c>
      <c r="F4" s="451">
        <v>5</v>
      </c>
      <c r="G4" s="451">
        <f>E4-F4</f>
        <v>28</v>
      </c>
    </row>
    <row r="5" spans="1:8" x14ac:dyDescent="0.25">
      <c r="A5" s="402"/>
      <c r="B5" s="399" t="s">
        <v>221</v>
      </c>
      <c r="C5" s="416">
        <v>4535.3680000000004</v>
      </c>
      <c r="D5" s="400">
        <v>394.02169999999995</v>
      </c>
      <c r="E5" s="399">
        <v>14</v>
      </c>
      <c r="F5" s="399">
        <v>0</v>
      </c>
      <c r="G5" s="399">
        <f>E5-F5</f>
        <v>14</v>
      </c>
    </row>
    <row r="6" spans="1:8" x14ac:dyDescent="0.25">
      <c r="A6" s="402">
        <v>2</v>
      </c>
      <c r="B6" s="399" t="s">
        <v>207</v>
      </c>
      <c r="C6" s="416">
        <v>1556.9169999999999</v>
      </c>
      <c r="D6" s="400">
        <v>153.84949999999998</v>
      </c>
      <c r="E6" s="399">
        <v>7</v>
      </c>
      <c r="F6" s="399">
        <v>0</v>
      </c>
      <c r="G6" s="399">
        <f t="shared" ref="G6:G20" si="0">E6-F6</f>
        <v>7</v>
      </c>
    </row>
    <row r="7" spans="1:8" x14ac:dyDescent="0.25">
      <c r="A7" s="402">
        <v>3</v>
      </c>
      <c r="B7" s="399" t="s">
        <v>208</v>
      </c>
      <c r="C7" s="416">
        <v>1216.731</v>
      </c>
      <c r="D7" s="400">
        <v>143.5188</v>
      </c>
      <c r="E7" s="399">
        <v>10</v>
      </c>
      <c r="F7" s="399">
        <v>0</v>
      </c>
      <c r="G7" s="450">
        <f t="shared" si="0"/>
        <v>10</v>
      </c>
      <c r="H7" s="407" t="s">
        <v>838</v>
      </c>
    </row>
    <row r="8" spans="1:8" x14ac:dyDescent="0.25">
      <c r="A8" s="402">
        <v>4</v>
      </c>
      <c r="B8" s="399" t="s">
        <v>209</v>
      </c>
      <c r="C8" s="416">
        <v>2434.8240000000001</v>
      </c>
      <c r="D8" s="400">
        <v>165.01846666666668</v>
      </c>
      <c r="E8" s="399">
        <v>15</v>
      </c>
      <c r="F8" s="399">
        <v>0</v>
      </c>
      <c r="G8" s="399">
        <f t="shared" si="0"/>
        <v>15</v>
      </c>
    </row>
    <row r="9" spans="1:8" x14ac:dyDescent="0.25">
      <c r="A9" s="402">
        <v>5</v>
      </c>
      <c r="B9" s="399" t="s">
        <v>211</v>
      </c>
      <c r="C9" s="416">
        <v>2560.1950000000002</v>
      </c>
      <c r="D9" s="400">
        <v>171.05053333333333</v>
      </c>
      <c r="E9" s="399">
        <v>12</v>
      </c>
      <c r="F9" s="399">
        <v>0</v>
      </c>
      <c r="G9" s="399">
        <f t="shared" si="0"/>
        <v>12</v>
      </c>
    </row>
    <row r="10" spans="1:8" x14ac:dyDescent="0.25">
      <c r="A10" s="402">
        <v>6</v>
      </c>
      <c r="B10" s="399" t="s">
        <v>212</v>
      </c>
      <c r="C10" s="416">
        <v>13892.002</v>
      </c>
      <c r="D10" s="400">
        <v>661.52880000000005</v>
      </c>
      <c r="E10" s="399">
        <v>21</v>
      </c>
      <c r="F10" s="399">
        <v>0</v>
      </c>
      <c r="G10" s="399">
        <f t="shared" si="0"/>
        <v>21</v>
      </c>
    </row>
    <row r="11" spans="1:8" x14ac:dyDescent="0.25">
      <c r="A11" s="402">
        <v>7</v>
      </c>
      <c r="B11" s="399" t="s">
        <v>213</v>
      </c>
      <c r="C11" s="416">
        <v>6815.4579999999996</v>
      </c>
      <c r="D11" s="400">
        <v>620.92619999999999</v>
      </c>
      <c r="E11" s="399">
        <v>13</v>
      </c>
      <c r="F11" s="399">
        <v>0</v>
      </c>
      <c r="G11" s="399">
        <f t="shared" si="0"/>
        <v>13</v>
      </c>
    </row>
    <row r="12" spans="1:8" x14ac:dyDescent="0.25">
      <c r="A12" s="402">
        <v>8</v>
      </c>
      <c r="B12" s="399" t="s">
        <v>214</v>
      </c>
      <c r="C12" s="416">
        <v>16067.478999999999</v>
      </c>
      <c r="D12" s="400">
        <v>1467.2415999999998</v>
      </c>
      <c r="E12" s="399">
        <v>30</v>
      </c>
      <c r="F12" s="399">
        <v>0</v>
      </c>
      <c r="G12" s="399">
        <f t="shared" si="0"/>
        <v>30</v>
      </c>
    </row>
    <row r="13" spans="1:8" x14ac:dyDescent="0.25">
      <c r="A13" s="402">
        <v>9</v>
      </c>
      <c r="B13" s="399" t="s">
        <v>215</v>
      </c>
      <c r="C13" s="416">
        <v>13718.121999999999</v>
      </c>
      <c r="D13" s="400">
        <v>1240.3507</v>
      </c>
      <c r="E13" s="399">
        <v>32</v>
      </c>
      <c r="F13" s="399">
        <v>0</v>
      </c>
      <c r="G13" s="399">
        <f t="shared" si="0"/>
        <v>32</v>
      </c>
      <c r="H13" s="407" t="s">
        <v>839</v>
      </c>
    </row>
    <row r="14" spans="1:8" x14ac:dyDescent="0.25">
      <c r="A14" s="402">
        <v>10</v>
      </c>
      <c r="B14" s="399" t="s">
        <v>216</v>
      </c>
      <c r="C14" s="416">
        <v>9725.366</v>
      </c>
      <c r="D14" s="400">
        <v>859.40570000000002</v>
      </c>
      <c r="E14" s="399">
        <v>24</v>
      </c>
      <c r="F14" s="399">
        <v>0</v>
      </c>
      <c r="G14" s="399">
        <f t="shared" si="0"/>
        <v>24</v>
      </c>
      <c r="H14" s="407" t="s">
        <v>838</v>
      </c>
    </row>
    <row r="15" spans="1:8" x14ac:dyDescent="0.25">
      <c r="A15" s="402">
        <v>11</v>
      </c>
      <c r="B15" s="399" t="s">
        <v>217</v>
      </c>
      <c r="C15" s="416">
        <v>9884.73</v>
      </c>
      <c r="D15" s="400">
        <v>854.2088</v>
      </c>
      <c r="E15" s="399">
        <v>36</v>
      </c>
      <c r="F15" s="399">
        <v>0</v>
      </c>
      <c r="G15" s="399">
        <f t="shared" si="0"/>
        <v>36</v>
      </c>
      <c r="H15" s="407" t="s">
        <v>838</v>
      </c>
    </row>
    <row r="16" spans="1:8" x14ac:dyDescent="0.25">
      <c r="A16" s="402">
        <v>12</v>
      </c>
      <c r="B16" s="399" t="s">
        <v>218</v>
      </c>
      <c r="C16" s="416">
        <v>6282.15</v>
      </c>
      <c r="D16" s="400">
        <v>527.98869999999999</v>
      </c>
      <c r="E16" s="399">
        <v>22</v>
      </c>
      <c r="F16" s="399">
        <v>1</v>
      </c>
      <c r="G16" s="399">
        <f t="shared" si="0"/>
        <v>21</v>
      </c>
      <c r="H16" s="407" t="s">
        <v>838</v>
      </c>
    </row>
    <row r="17" spans="1:8" x14ac:dyDescent="0.25">
      <c r="A17" s="402">
        <v>13</v>
      </c>
      <c r="B17" s="399" t="s">
        <v>219</v>
      </c>
      <c r="C17" s="416">
        <v>6813.65</v>
      </c>
      <c r="D17" s="400">
        <v>614.89920000000006</v>
      </c>
      <c r="E17" s="399">
        <v>23</v>
      </c>
      <c r="F17" s="399">
        <v>0</v>
      </c>
      <c r="G17" s="399">
        <f t="shared" si="0"/>
        <v>23</v>
      </c>
      <c r="H17" s="407" t="s">
        <v>838</v>
      </c>
    </row>
    <row r="18" spans="1:8" x14ac:dyDescent="0.25">
      <c r="A18" s="402">
        <v>14</v>
      </c>
      <c r="B18" s="399" t="s">
        <v>220</v>
      </c>
      <c r="C18" s="416">
        <v>14411.036</v>
      </c>
      <c r="D18" s="400">
        <v>1354.0940000000001</v>
      </c>
      <c r="E18" s="399">
        <v>29</v>
      </c>
      <c r="F18" s="399">
        <v>0</v>
      </c>
      <c r="G18" s="399">
        <f t="shared" si="0"/>
        <v>29</v>
      </c>
    </row>
    <row r="19" spans="1:8" x14ac:dyDescent="0.25">
      <c r="A19" s="402">
        <v>15</v>
      </c>
      <c r="B19" s="399" t="s">
        <v>222</v>
      </c>
      <c r="C19" s="416">
        <v>8899.884</v>
      </c>
      <c r="D19" s="400">
        <v>752.20229999999992</v>
      </c>
      <c r="E19" s="399">
        <v>26</v>
      </c>
      <c r="F19" s="399">
        <v>0</v>
      </c>
      <c r="G19" s="399">
        <f t="shared" si="0"/>
        <v>26</v>
      </c>
    </row>
    <row r="20" spans="1:8" x14ac:dyDescent="0.25">
      <c r="A20" s="402">
        <v>16</v>
      </c>
      <c r="B20" s="399" t="s">
        <v>223</v>
      </c>
      <c r="C20" s="416">
        <v>12548.287</v>
      </c>
      <c r="D20" s="400">
        <v>1266.9378000000002</v>
      </c>
      <c r="E20" s="399">
        <v>30</v>
      </c>
      <c r="F20" s="399">
        <v>1</v>
      </c>
      <c r="G20" s="399">
        <f t="shared" si="0"/>
        <v>29</v>
      </c>
      <c r="H20" s="407" t="s">
        <v>838</v>
      </c>
    </row>
    <row r="21" spans="1:8" x14ac:dyDescent="0.25">
      <c r="A21" s="399"/>
      <c r="B21" s="398" t="s">
        <v>61</v>
      </c>
      <c r="C21" s="401">
        <f>SUM(C4:C20)</f>
        <v>136774.44499999998</v>
      </c>
      <c r="D21" s="401">
        <f>SUM(D4:D20)</f>
        <v>11824.988600000001</v>
      </c>
      <c r="E21" s="398">
        <f>SUM(E4:E20)</f>
        <v>377</v>
      </c>
      <c r="F21" s="398">
        <f>SUM(F4:F20)</f>
        <v>7</v>
      </c>
      <c r="G21" s="398">
        <f>SUM(G4:G20)</f>
        <v>370</v>
      </c>
    </row>
  </sheetData>
  <mergeCells count="1">
    <mergeCell ref="A1:G1"/>
  </mergeCells>
  <pageMargins left="0.7" right="0.7" top="0.75" bottom="0.75" header="0.3" footer="0.3"/>
  <pageSetup paperSize="9" orientation="portrait" verticalDpi="0"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4"/>
  <sheetViews>
    <sheetView workbookViewId="0">
      <selection activeCell="G26" sqref="G26"/>
    </sheetView>
  </sheetViews>
  <sheetFormatPr defaultRowHeight="15" x14ac:dyDescent="0.25"/>
  <cols>
    <col min="1" max="1" width="9.140625" style="407"/>
    <col min="2" max="2" width="18" style="407" customWidth="1"/>
    <col min="3" max="3" width="12.5703125" style="407" customWidth="1"/>
    <col min="4" max="5" width="14" style="407" customWidth="1"/>
    <col min="6" max="6" width="12.5703125" style="407" customWidth="1"/>
    <col min="7" max="7" width="36.5703125" style="407" customWidth="1"/>
    <col min="8" max="8" width="9.140625" style="414"/>
    <col min="9" max="16384" width="9.140625" style="407"/>
  </cols>
  <sheetData>
    <row r="2" spans="1:8" x14ac:dyDescent="0.25">
      <c r="A2" s="498" t="s">
        <v>824</v>
      </c>
      <c r="B2" s="498"/>
      <c r="C2" s="498"/>
      <c r="D2" s="498"/>
      <c r="E2" s="498"/>
      <c r="F2" s="498"/>
      <c r="G2" s="498"/>
      <c r="H2" s="498"/>
    </row>
    <row r="4" spans="1:8" ht="42.75" x14ac:dyDescent="0.25">
      <c r="A4" s="121" t="s">
        <v>59</v>
      </c>
      <c r="B4" s="121" t="s">
        <v>229</v>
      </c>
      <c r="C4" s="121" t="s">
        <v>231</v>
      </c>
      <c r="D4" s="121" t="s">
        <v>230</v>
      </c>
      <c r="E4" s="121" t="s">
        <v>250</v>
      </c>
      <c r="F4" s="121" t="s">
        <v>232</v>
      </c>
      <c r="G4" s="131" t="s">
        <v>249</v>
      </c>
      <c r="H4" s="131" t="s">
        <v>248</v>
      </c>
    </row>
    <row r="5" spans="1:8" x14ac:dyDescent="0.25">
      <c r="A5" s="408">
        <v>1</v>
      </c>
      <c r="B5" s="409" t="s">
        <v>39</v>
      </c>
      <c r="C5" s="410">
        <v>415431</v>
      </c>
      <c r="D5" s="410">
        <v>359221</v>
      </c>
      <c r="E5" s="411">
        <v>319142</v>
      </c>
      <c r="F5" s="410">
        <v>245000</v>
      </c>
      <c r="G5" s="409"/>
      <c r="H5" s="412">
        <f>F5/C5*100</f>
        <v>58.974895951433567</v>
      </c>
    </row>
    <row r="6" spans="1:8" x14ac:dyDescent="0.25">
      <c r="A6" s="408">
        <v>2</v>
      </c>
      <c r="B6" s="409" t="s">
        <v>247</v>
      </c>
      <c r="C6" s="411" t="s">
        <v>251</v>
      </c>
      <c r="D6" s="411" t="s">
        <v>251</v>
      </c>
      <c r="E6" s="411">
        <v>148856</v>
      </c>
      <c r="F6" s="410">
        <v>86000</v>
      </c>
      <c r="G6" s="409"/>
      <c r="H6" s="412">
        <f>F6/E6*100</f>
        <v>57.773956038050201</v>
      </c>
    </row>
    <row r="7" spans="1:8" x14ac:dyDescent="0.25">
      <c r="A7" s="408">
        <v>3</v>
      </c>
      <c r="B7" s="409" t="s">
        <v>41</v>
      </c>
      <c r="C7" s="410">
        <v>266582</v>
      </c>
      <c r="D7" s="410">
        <v>305038</v>
      </c>
      <c r="E7" s="411">
        <v>262874</v>
      </c>
      <c r="F7" s="410">
        <v>155000</v>
      </c>
      <c r="G7" s="409"/>
      <c r="H7" s="412">
        <f>F7/C7*100</f>
        <v>58.143460548724221</v>
      </c>
    </row>
    <row r="8" spans="1:8" x14ac:dyDescent="0.25">
      <c r="A8" s="408">
        <v>4</v>
      </c>
      <c r="B8" s="409" t="s">
        <v>233</v>
      </c>
      <c r="C8" s="410">
        <v>268715</v>
      </c>
      <c r="D8" s="410">
        <v>268658</v>
      </c>
      <c r="E8" s="411">
        <v>181690</v>
      </c>
      <c r="F8" s="410">
        <v>158000</v>
      </c>
      <c r="G8" s="409"/>
      <c r="H8" s="412">
        <f>F8/C8*100</f>
        <v>58.798355134622184</v>
      </c>
    </row>
    <row r="9" spans="1:8" x14ac:dyDescent="0.25">
      <c r="A9" s="408">
        <v>5</v>
      </c>
      <c r="B9" s="409" t="s">
        <v>234</v>
      </c>
      <c r="C9" s="410">
        <v>286522</v>
      </c>
      <c r="D9" s="410">
        <v>205867</v>
      </c>
      <c r="E9" s="411">
        <v>2111128</v>
      </c>
      <c r="F9" s="410">
        <v>165000</v>
      </c>
      <c r="G9" s="409"/>
      <c r="H9" s="412">
        <f>F9/C9*100</f>
        <v>57.587200982821564</v>
      </c>
    </row>
    <row r="10" spans="1:8" x14ac:dyDescent="0.25">
      <c r="A10" s="408">
        <v>6</v>
      </c>
      <c r="B10" s="409" t="s">
        <v>235</v>
      </c>
      <c r="C10" s="411" t="s">
        <v>251</v>
      </c>
      <c r="D10" s="411" t="s">
        <v>251</v>
      </c>
      <c r="E10" s="411" t="s">
        <v>251</v>
      </c>
      <c r="F10" s="410">
        <v>130000</v>
      </c>
      <c r="G10" s="408" t="s">
        <v>242</v>
      </c>
      <c r="H10" s="412"/>
    </row>
    <row r="11" spans="1:8" x14ac:dyDescent="0.25">
      <c r="A11" s="408">
        <v>7</v>
      </c>
      <c r="B11" s="409" t="s">
        <v>236</v>
      </c>
      <c r="C11" s="411" t="s">
        <v>251</v>
      </c>
      <c r="D11" s="411" t="s">
        <v>251</v>
      </c>
      <c r="E11" s="411" t="s">
        <v>251</v>
      </c>
      <c r="F11" s="410">
        <v>140000</v>
      </c>
      <c r="G11" s="408" t="s">
        <v>243</v>
      </c>
      <c r="H11" s="412"/>
    </row>
    <row r="12" spans="1:8" x14ac:dyDescent="0.25">
      <c r="A12" s="408">
        <v>8</v>
      </c>
      <c r="B12" s="409" t="s">
        <v>241</v>
      </c>
      <c r="C12" s="411" t="s">
        <v>251</v>
      </c>
      <c r="D12" s="411" t="s">
        <v>251</v>
      </c>
      <c r="E12" s="411">
        <v>253383</v>
      </c>
      <c r="F12" s="410">
        <v>140000</v>
      </c>
      <c r="G12" s="409"/>
      <c r="H12" s="412">
        <f>F12/E12*100</f>
        <v>55.252325530915648</v>
      </c>
    </row>
    <row r="13" spans="1:8" x14ac:dyDescent="0.25">
      <c r="A13" s="408">
        <v>9</v>
      </c>
      <c r="B13" s="409" t="s">
        <v>237</v>
      </c>
      <c r="C13" s="410">
        <v>237758</v>
      </c>
      <c r="D13" s="410">
        <v>221968</v>
      </c>
      <c r="E13" s="411" t="s">
        <v>251</v>
      </c>
      <c r="F13" s="410">
        <v>130000</v>
      </c>
      <c r="G13" s="409"/>
      <c r="H13" s="412">
        <f>F13/C13*100</f>
        <v>54.677445133286781</v>
      </c>
    </row>
    <row r="14" spans="1:8" x14ac:dyDescent="0.25">
      <c r="A14" s="408">
        <v>10</v>
      </c>
      <c r="B14" s="409" t="s">
        <v>238</v>
      </c>
      <c r="C14" s="410">
        <v>227628</v>
      </c>
      <c r="D14" s="410">
        <v>230887</v>
      </c>
      <c r="E14" s="411" t="s">
        <v>251</v>
      </c>
      <c r="F14" s="410">
        <v>12500</v>
      </c>
      <c r="G14" s="409"/>
      <c r="H14" s="412">
        <f>F14/C14*100</f>
        <v>5.4914158187920643</v>
      </c>
    </row>
    <row r="15" spans="1:8" x14ac:dyDescent="0.25">
      <c r="A15" s="408">
        <v>11</v>
      </c>
      <c r="B15" s="409" t="s">
        <v>239</v>
      </c>
      <c r="C15" s="410">
        <v>170034</v>
      </c>
      <c r="D15" s="410">
        <v>261353</v>
      </c>
      <c r="E15" s="411" t="s">
        <v>251</v>
      </c>
      <c r="F15" s="410">
        <v>95000</v>
      </c>
      <c r="G15" s="409"/>
      <c r="H15" s="412">
        <f>F15/C15*100</f>
        <v>55.871178705435383</v>
      </c>
    </row>
    <row r="16" spans="1:8" x14ac:dyDescent="0.25">
      <c r="A16" s="408">
        <v>12</v>
      </c>
      <c r="B16" s="409" t="s">
        <v>240</v>
      </c>
      <c r="C16" s="410">
        <v>275334</v>
      </c>
      <c r="D16" s="410">
        <v>231247</v>
      </c>
      <c r="E16" s="411" t="s">
        <v>251</v>
      </c>
      <c r="F16" s="410">
        <v>150000</v>
      </c>
      <c r="G16" s="409"/>
      <c r="H16" s="412">
        <f>F16/C16*100</f>
        <v>54.479286975092066</v>
      </c>
    </row>
    <row r="17" spans="1:8" x14ac:dyDescent="0.25">
      <c r="A17" s="408">
        <v>13</v>
      </c>
      <c r="B17" s="409" t="s">
        <v>42</v>
      </c>
      <c r="C17" s="411" t="s">
        <v>251</v>
      </c>
      <c r="D17" s="411" t="s">
        <v>251</v>
      </c>
      <c r="E17" s="411" t="s">
        <v>251</v>
      </c>
      <c r="F17" s="410">
        <f>F16</f>
        <v>150000</v>
      </c>
      <c r="G17" s="408" t="s">
        <v>246</v>
      </c>
      <c r="H17" s="412"/>
    </row>
    <row r="18" spans="1:8" x14ac:dyDescent="0.25">
      <c r="A18" s="408">
        <v>14</v>
      </c>
      <c r="B18" s="409" t="s">
        <v>43</v>
      </c>
      <c r="C18" s="410">
        <v>482829</v>
      </c>
      <c r="D18" s="410">
        <v>348695</v>
      </c>
      <c r="E18" s="411" t="s">
        <v>251</v>
      </c>
      <c r="F18" s="410">
        <v>265000</v>
      </c>
      <c r="G18" s="409"/>
      <c r="H18" s="412">
        <f>F18/C18*100</f>
        <v>54.884855714963265</v>
      </c>
    </row>
    <row r="19" spans="1:8" x14ac:dyDescent="0.25">
      <c r="A19" s="408">
        <v>15</v>
      </c>
      <c r="B19" s="409" t="s">
        <v>44</v>
      </c>
      <c r="C19" s="410">
        <v>412737</v>
      </c>
      <c r="D19" s="410">
        <v>348695</v>
      </c>
      <c r="E19" s="411" t="s">
        <v>251</v>
      </c>
      <c r="F19" s="410">
        <v>225000</v>
      </c>
      <c r="G19" s="409"/>
      <c r="H19" s="412">
        <f>F19/C19*100</f>
        <v>54.514133697730024</v>
      </c>
    </row>
    <row r="20" spans="1:8" x14ac:dyDescent="0.25">
      <c r="A20" s="408">
        <v>16</v>
      </c>
      <c r="B20" s="409" t="s">
        <v>45</v>
      </c>
      <c r="C20" s="411" t="s">
        <v>251</v>
      </c>
      <c r="D20" s="411" t="s">
        <v>251</v>
      </c>
      <c r="E20" s="411" t="s">
        <v>251</v>
      </c>
      <c r="F20" s="410">
        <f>F19</f>
        <v>225000</v>
      </c>
      <c r="G20" s="408" t="s">
        <v>244</v>
      </c>
      <c r="H20" s="412"/>
    </row>
    <row r="21" spans="1:8" x14ac:dyDescent="0.25">
      <c r="A21" s="408">
        <v>17</v>
      </c>
      <c r="B21" s="409" t="s">
        <v>284</v>
      </c>
      <c r="C21" s="410">
        <v>482301</v>
      </c>
      <c r="D21" s="410">
        <v>348695</v>
      </c>
      <c r="E21" s="411" t="s">
        <v>251</v>
      </c>
      <c r="F21" s="410">
        <v>265000</v>
      </c>
      <c r="G21" s="409"/>
      <c r="H21" s="412">
        <f>F21/C21*100</f>
        <v>54.944941022307646</v>
      </c>
    </row>
    <row r="22" spans="1:8" x14ac:dyDescent="0.25">
      <c r="A22" s="408">
        <v>18</v>
      </c>
      <c r="B22" s="409" t="s">
        <v>224</v>
      </c>
      <c r="C22" s="411" t="s">
        <v>251</v>
      </c>
      <c r="D22" s="411" t="s">
        <v>251</v>
      </c>
      <c r="E22" s="411" t="s">
        <v>251</v>
      </c>
      <c r="F22" s="410">
        <f>F21</f>
        <v>265000</v>
      </c>
      <c r="G22" s="408" t="s">
        <v>245</v>
      </c>
      <c r="H22" s="412"/>
    </row>
    <row r="24" spans="1:8" x14ac:dyDescent="0.25">
      <c r="A24" s="413" t="s">
        <v>285</v>
      </c>
      <c r="B24" s="413"/>
      <c r="C24" s="413"/>
      <c r="D24" s="413"/>
      <c r="E24" s="413"/>
      <c r="F24" s="413"/>
    </row>
  </sheetData>
  <mergeCells count="1">
    <mergeCell ref="A2:H2"/>
  </mergeCells>
  <pageMargins left="0.7" right="0.7" top="0.75" bottom="0.75" header="0.3" footer="0.3"/>
  <pageSetup paperSize="9" orientation="landscape"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B8" sqref="B8"/>
    </sheetView>
  </sheetViews>
  <sheetFormatPr defaultRowHeight="15" x14ac:dyDescent="0.25"/>
  <cols>
    <col min="1" max="1" width="23.85546875" customWidth="1"/>
    <col min="2" max="2" width="17.140625" customWidth="1"/>
  </cols>
  <sheetData>
    <row r="1" spans="1:3" x14ac:dyDescent="0.25">
      <c r="A1" t="s">
        <v>639</v>
      </c>
    </row>
    <row r="4" spans="1:3" x14ac:dyDescent="0.25">
      <c r="A4" t="s">
        <v>640</v>
      </c>
    </row>
    <row r="5" spans="1:3" x14ac:dyDescent="0.25">
      <c r="A5" t="s">
        <v>641</v>
      </c>
      <c r="B5">
        <f>0.98-(0.98-0.93)/(-350000+100000)*(136774-350000)</f>
        <v>0.93735480000000004</v>
      </c>
    </row>
    <row r="6" spans="1:3" x14ac:dyDescent="0.25">
      <c r="A6" t="s">
        <v>642</v>
      </c>
    </row>
    <row r="7" spans="1:3" x14ac:dyDescent="0.25">
      <c r="A7" t="s">
        <v>643</v>
      </c>
    </row>
    <row r="8" spans="1:3" x14ac:dyDescent="0.25">
      <c r="A8" s="328" t="s">
        <v>644</v>
      </c>
      <c r="B8">
        <f>1.19-(1.19-1.01)/(12-30)*(16-30)</f>
        <v>1.05</v>
      </c>
    </row>
    <row r="9" spans="1:3" x14ac:dyDescent="0.25">
      <c r="A9" s="329" t="s">
        <v>645</v>
      </c>
    </row>
    <row r="10" spans="1:3" x14ac:dyDescent="0.25">
      <c r="A10" t="s">
        <v>646</v>
      </c>
    </row>
    <row r="11" spans="1:3" x14ac:dyDescent="0.25">
      <c r="A11" t="s">
        <v>647</v>
      </c>
      <c r="B11" s="330">
        <f>'Số mẫu cần lấy'!M11</f>
        <v>18887.021000000001</v>
      </c>
      <c r="C11" s="331">
        <f>(B11*1.1+B12*1)/(B11+B12)</f>
        <v>1.0138088814763606</v>
      </c>
    </row>
    <row r="12" spans="1:3" x14ac:dyDescent="0.25">
      <c r="A12" t="s">
        <v>648</v>
      </c>
      <c r="B12" s="330">
        <f>'Số mẫu cần lấy'!M12</f>
        <v>117887.42399999997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E185"/>
  <sheetViews>
    <sheetView topLeftCell="A90" workbookViewId="0">
      <selection activeCell="P95" sqref="P95"/>
    </sheetView>
  </sheetViews>
  <sheetFormatPr defaultRowHeight="15.75" x14ac:dyDescent="0.25"/>
  <cols>
    <col min="1" max="1" width="5.42578125" style="309" customWidth="1"/>
    <col min="2" max="2" width="28.7109375" style="305" customWidth="1"/>
    <col min="3" max="3" width="9.5703125" style="305" hidden="1" customWidth="1"/>
    <col min="4" max="5" width="6" style="305" hidden="1" customWidth="1"/>
    <col min="6" max="6" width="8.5703125" style="305" hidden="1" customWidth="1"/>
    <col min="7" max="7" width="8.42578125" style="305" hidden="1" customWidth="1"/>
    <col min="8" max="10" width="6" style="305" hidden="1" customWidth="1"/>
    <col min="11" max="11" width="13.28515625" style="305" hidden="1" customWidth="1"/>
    <col min="12" max="12" width="13.5703125" style="305" hidden="1" customWidth="1"/>
    <col min="13" max="13" width="14.5703125" style="305" hidden="1" customWidth="1"/>
    <col min="14" max="14" width="10.42578125" style="305" customWidth="1"/>
    <col min="15" max="16" width="7.42578125" style="305" customWidth="1"/>
    <col min="17" max="17" width="9.5703125" style="305" customWidth="1"/>
    <col min="18" max="18" width="7.42578125" style="305" customWidth="1"/>
    <col min="19" max="22" width="6.140625" style="305" customWidth="1"/>
    <col min="23" max="23" width="17.28515625" style="305" hidden="1" customWidth="1"/>
    <col min="24" max="24" width="16.140625" style="305" hidden="1" customWidth="1"/>
    <col min="25" max="25" width="15.7109375" style="305" customWidth="1"/>
    <col min="26" max="27" width="33.28515625" style="305" customWidth="1"/>
    <col min="28" max="28" width="29.28515625" style="305" hidden="1" customWidth="1"/>
    <col min="29" max="16384" width="9.140625" style="305"/>
  </cols>
  <sheetData>
    <row r="1" spans="1:28" ht="25.5" customHeight="1" x14ac:dyDescent="0.25">
      <c r="A1" s="471" t="s">
        <v>540</v>
      </c>
      <c r="B1" s="471"/>
      <c r="C1" s="471"/>
      <c r="D1" s="471"/>
      <c r="E1" s="471"/>
      <c r="F1" s="471"/>
      <c r="G1" s="471"/>
      <c r="H1" s="471"/>
      <c r="I1" s="471"/>
      <c r="J1" s="471"/>
      <c r="K1" s="471"/>
      <c r="L1" s="471"/>
      <c r="M1" s="471"/>
      <c r="N1" s="471"/>
      <c r="O1" s="471"/>
      <c r="P1" s="471"/>
      <c r="Q1" s="471"/>
      <c r="R1" s="471"/>
      <c r="S1" s="471"/>
      <c r="T1" s="471"/>
      <c r="U1" s="471"/>
      <c r="V1" s="471"/>
      <c r="W1" s="471"/>
      <c r="X1" s="471"/>
      <c r="Y1" s="471"/>
      <c r="Z1" s="471"/>
      <c r="AA1" s="340"/>
    </row>
    <row r="2" spans="1:28" ht="20.25" customHeight="1" x14ac:dyDescent="0.25">
      <c r="A2" s="475" t="s">
        <v>541</v>
      </c>
      <c r="B2" s="475"/>
      <c r="C2" s="475"/>
      <c r="D2" s="475"/>
      <c r="E2" s="475"/>
      <c r="F2" s="475"/>
      <c r="G2" s="475"/>
      <c r="H2" s="475"/>
      <c r="I2" s="475"/>
      <c r="J2" s="475"/>
      <c r="K2" s="475"/>
      <c r="L2" s="475"/>
      <c r="M2" s="475"/>
      <c r="N2" s="475"/>
      <c r="O2" s="475"/>
      <c r="P2" s="475"/>
      <c r="Q2" s="475"/>
      <c r="R2" s="475"/>
      <c r="S2" s="475"/>
      <c r="T2" s="475"/>
      <c r="U2" s="475"/>
      <c r="V2" s="475"/>
      <c r="W2" s="475"/>
      <c r="X2" s="475"/>
      <c r="Y2" s="475"/>
      <c r="Z2" s="475"/>
      <c r="AA2" s="341"/>
    </row>
    <row r="3" spans="1:28" x14ac:dyDescent="0.25">
      <c r="A3" s="105"/>
      <c r="B3" s="105"/>
      <c r="C3" s="105"/>
      <c r="D3" s="105"/>
      <c r="E3" s="105"/>
      <c r="F3" s="105"/>
      <c r="G3" s="105"/>
      <c r="H3" s="105"/>
      <c r="I3" s="105"/>
      <c r="J3" s="105"/>
      <c r="K3" s="105"/>
      <c r="L3" s="105"/>
      <c r="M3" s="105"/>
      <c r="N3" s="105"/>
      <c r="O3" s="105"/>
      <c r="P3" s="105"/>
      <c r="Q3" s="105"/>
      <c r="R3" s="105"/>
      <c r="S3" s="105"/>
      <c r="T3" s="105"/>
      <c r="U3" s="105"/>
      <c r="V3" s="105"/>
      <c r="W3" s="105"/>
      <c r="X3" s="473" t="s">
        <v>176</v>
      </c>
      <c r="Y3" s="473"/>
      <c r="Z3" s="473"/>
      <c r="AA3" s="105"/>
    </row>
    <row r="4" spans="1:28" ht="15.75" customHeight="1" x14ac:dyDescent="0.25">
      <c r="A4" s="472" t="s">
        <v>0</v>
      </c>
      <c r="B4" s="472" t="s">
        <v>1</v>
      </c>
      <c r="C4" s="474" t="s">
        <v>636</v>
      </c>
      <c r="D4" s="474"/>
      <c r="E4" s="474"/>
      <c r="F4" s="474"/>
      <c r="G4" s="474"/>
      <c r="H4" s="474"/>
      <c r="I4" s="474"/>
      <c r="J4" s="474"/>
      <c r="K4" s="474"/>
      <c r="L4" s="474"/>
      <c r="M4" s="474"/>
      <c r="N4" s="474" t="s">
        <v>685</v>
      </c>
      <c r="O4" s="474"/>
      <c r="P4" s="474"/>
      <c r="Q4" s="474"/>
      <c r="R4" s="474"/>
      <c r="S4" s="474"/>
      <c r="T4" s="474"/>
      <c r="U4" s="474"/>
      <c r="V4" s="474"/>
      <c r="W4" s="474"/>
      <c r="X4" s="474"/>
      <c r="Y4" s="474"/>
      <c r="Z4" s="474" t="s">
        <v>105</v>
      </c>
      <c r="AA4" s="340"/>
    </row>
    <row r="5" spans="1:28" s="306" customFormat="1" ht="39.75" customHeight="1" x14ac:dyDescent="0.25">
      <c r="A5" s="472"/>
      <c r="B5" s="472"/>
      <c r="C5" s="474"/>
      <c r="D5" s="474"/>
      <c r="E5" s="474"/>
      <c r="F5" s="474"/>
      <c r="G5" s="474"/>
      <c r="H5" s="474"/>
      <c r="I5" s="474"/>
      <c r="J5" s="474"/>
      <c r="K5" s="474"/>
      <c r="L5" s="474"/>
      <c r="M5" s="474"/>
      <c r="N5" s="472" t="s">
        <v>2</v>
      </c>
      <c r="O5" s="472" t="s">
        <v>162</v>
      </c>
      <c r="P5" s="472"/>
      <c r="Q5" s="472" t="s">
        <v>163</v>
      </c>
      <c r="R5" s="472"/>
      <c r="S5" s="472" t="s">
        <v>3</v>
      </c>
      <c r="T5" s="472"/>
      <c r="U5" s="472"/>
      <c r="V5" s="472"/>
      <c r="W5" s="472" t="s">
        <v>74</v>
      </c>
      <c r="X5" s="472"/>
      <c r="Y5" s="472"/>
      <c r="Z5" s="474"/>
      <c r="AA5" s="340"/>
      <c r="AB5" s="471"/>
    </row>
    <row r="6" spans="1:28" s="306" customFormat="1" ht="38.25" customHeight="1" x14ac:dyDescent="0.25">
      <c r="A6" s="472"/>
      <c r="B6" s="472"/>
      <c r="C6" s="474"/>
      <c r="D6" s="474"/>
      <c r="E6" s="474"/>
      <c r="F6" s="474"/>
      <c r="G6" s="474"/>
      <c r="H6" s="474"/>
      <c r="I6" s="474"/>
      <c r="J6" s="474"/>
      <c r="K6" s="474"/>
      <c r="L6" s="474"/>
      <c r="M6" s="474"/>
      <c r="N6" s="472"/>
      <c r="O6" s="58" t="s">
        <v>4</v>
      </c>
      <c r="P6" s="58" t="s">
        <v>5</v>
      </c>
      <c r="Q6" s="342" t="s">
        <v>4</v>
      </c>
      <c r="R6" s="342" t="s">
        <v>5</v>
      </c>
      <c r="S6" s="342" t="s">
        <v>6</v>
      </c>
      <c r="T6" s="342" t="s">
        <v>603</v>
      </c>
      <c r="U6" s="342" t="s">
        <v>8</v>
      </c>
      <c r="V6" s="342" t="s">
        <v>653</v>
      </c>
      <c r="W6" s="342" t="s">
        <v>4</v>
      </c>
      <c r="X6" s="342" t="s">
        <v>5</v>
      </c>
      <c r="Y6" s="342" t="s">
        <v>9</v>
      </c>
      <c r="Z6" s="337"/>
      <c r="AA6" s="307"/>
      <c r="AB6" s="471"/>
    </row>
    <row r="7" spans="1:28" s="306" customFormat="1" ht="63" x14ac:dyDescent="0.25">
      <c r="A7" s="342"/>
      <c r="B7" s="342" t="s">
        <v>9</v>
      </c>
      <c r="C7" s="342"/>
      <c r="D7" s="58"/>
      <c r="E7" s="58"/>
      <c r="F7" s="342"/>
      <c r="G7" s="342"/>
      <c r="H7" s="292"/>
      <c r="I7" s="292"/>
      <c r="J7" s="292"/>
      <c r="K7" s="300">
        <v>6041654077.0907841</v>
      </c>
      <c r="L7" s="300">
        <v>1707177211.1595936</v>
      </c>
      <c r="M7" s="300">
        <f>M8+M16+M33+M40+M56+M98</f>
        <v>7923903647.9753494</v>
      </c>
      <c r="N7" s="342"/>
      <c r="O7" s="58"/>
      <c r="P7" s="58"/>
      <c r="Q7" s="342"/>
      <c r="R7" s="342"/>
      <c r="S7" s="342"/>
      <c r="T7" s="342"/>
      <c r="U7" s="342"/>
      <c r="V7" s="342"/>
      <c r="W7" s="343">
        <f>W8+W16+W33+W40+W56+W98</f>
        <v>4873612231.8585653</v>
      </c>
      <c r="X7" s="343">
        <f>X8+X16+X33+X40+X56+X98</f>
        <v>1482192289.2226148</v>
      </c>
      <c r="Y7" s="343">
        <f>Y8+Y16+Y33+Y40+Y56+Y98</f>
        <v>6355804521.0811796</v>
      </c>
      <c r="Z7" s="453" t="s">
        <v>851</v>
      </c>
      <c r="AA7" s="307"/>
      <c r="AB7" s="307">
        <f>M7-Y7</f>
        <v>1568099126.8941698</v>
      </c>
    </row>
    <row r="8" spans="1:28" s="306" customFormat="1" ht="63" x14ac:dyDescent="0.25">
      <c r="A8" s="342">
        <v>1</v>
      </c>
      <c r="B8" s="59" t="s">
        <v>156</v>
      </c>
      <c r="C8" s="59"/>
      <c r="D8" s="61"/>
      <c r="E8" s="61"/>
      <c r="F8" s="59"/>
      <c r="G8" s="59"/>
      <c r="H8" s="293"/>
      <c r="I8" s="293"/>
      <c r="J8" s="293"/>
      <c r="K8" s="60">
        <v>190982176.42591953</v>
      </c>
      <c r="L8" s="60">
        <v>128333584.9567654</v>
      </c>
      <c r="M8" s="60">
        <f>M9+M12</f>
        <v>319315761.38268495</v>
      </c>
      <c r="N8" s="60"/>
      <c r="O8" s="61"/>
      <c r="P8" s="61"/>
      <c r="Q8" s="67"/>
      <c r="R8" s="67"/>
      <c r="S8" s="67"/>
      <c r="T8" s="67"/>
      <c r="U8" s="67"/>
      <c r="V8" s="67"/>
      <c r="W8" s="344">
        <f>W9+W12</f>
        <v>236897301.48230964</v>
      </c>
      <c r="X8" s="344">
        <f>X9+X12</f>
        <v>159187001.29381493</v>
      </c>
      <c r="Y8" s="344">
        <f>W8+X8</f>
        <v>396084302.7761246</v>
      </c>
      <c r="Z8" s="107" t="s">
        <v>689</v>
      </c>
      <c r="AB8" s="307">
        <f t="shared" ref="AB8:AB71" si="0">M8-Y8</f>
        <v>-76768541.393439651</v>
      </c>
    </row>
    <row r="9" spans="1:28" s="66" customFormat="1" ht="27" x14ac:dyDescent="0.25">
      <c r="A9" s="62" t="s">
        <v>13</v>
      </c>
      <c r="B9" s="63" t="s">
        <v>156</v>
      </c>
      <c r="C9" s="63"/>
      <c r="D9" s="65"/>
      <c r="E9" s="65"/>
      <c r="F9" s="63"/>
      <c r="G9" s="63"/>
      <c r="H9" s="295"/>
      <c r="I9" s="295"/>
      <c r="J9" s="295"/>
      <c r="K9" s="64">
        <v>0</v>
      </c>
      <c r="L9" s="64">
        <v>128333584.9567654</v>
      </c>
      <c r="M9" s="64">
        <f>M10+M11</f>
        <v>128333584.9567654</v>
      </c>
      <c r="N9" s="64"/>
      <c r="O9" s="65"/>
      <c r="P9" s="65"/>
      <c r="Q9" s="63"/>
      <c r="R9" s="63"/>
      <c r="S9" s="63"/>
      <c r="T9" s="63"/>
      <c r="U9" s="63"/>
      <c r="V9" s="63"/>
      <c r="W9" s="64">
        <f>W10+W11</f>
        <v>0</v>
      </c>
      <c r="X9" s="64">
        <f>X10+X11</f>
        <v>159187001.29381493</v>
      </c>
      <c r="Y9" s="64">
        <f>Y10+Y11</f>
        <v>159187001.29381493</v>
      </c>
      <c r="Z9" s="107"/>
      <c r="AA9" s="306"/>
      <c r="AB9" s="307">
        <f t="shared" si="0"/>
        <v>-30853416.337049529</v>
      </c>
    </row>
    <row r="10" spans="1:28" s="306" customFormat="1" ht="51" x14ac:dyDescent="0.25">
      <c r="A10" s="335" t="s">
        <v>131</v>
      </c>
      <c r="B10" s="67" t="s">
        <v>649</v>
      </c>
      <c r="C10" s="67" t="s">
        <v>151</v>
      </c>
      <c r="D10" s="69"/>
      <c r="E10" s="69">
        <v>82</v>
      </c>
      <c r="F10" s="68"/>
      <c r="G10" s="68">
        <v>757530</v>
      </c>
      <c r="H10" s="294">
        <v>0.93744680000000002</v>
      </c>
      <c r="I10" s="294">
        <v>1.0523809523809524</v>
      </c>
      <c r="J10" s="294">
        <v>1.06</v>
      </c>
      <c r="K10" s="68">
        <v>0</v>
      </c>
      <c r="L10" s="68">
        <v>64958975.10157261</v>
      </c>
      <c r="M10" s="68">
        <v>64958975.10157261</v>
      </c>
      <c r="N10" s="58" t="s">
        <v>151</v>
      </c>
      <c r="O10" s="69"/>
      <c r="P10" s="69">
        <v>82</v>
      </c>
      <c r="Q10" s="67"/>
      <c r="R10" s="68">
        <f>'Bảng lương'!I17+'Bảng lương'!I10*2</f>
        <v>984789</v>
      </c>
      <c r="S10" s="332">
        <f>Sheet1!B5</f>
        <v>0.93735480000000004</v>
      </c>
      <c r="T10" s="332">
        <f>Sheet1!C11</f>
        <v>1.0138088814763606</v>
      </c>
      <c r="U10" s="61">
        <f>Sheet1!B8</f>
        <v>1.05</v>
      </c>
      <c r="V10" s="61"/>
      <c r="W10" s="343">
        <f>O10*Q10*S10*T10*U10</f>
        <v>0</v>
      </c>
      <c r="X10" s="333">
        <f>R10*S10*T10*U10*P10</f>
        <v>80576136.457363114</v>
      </c>
      <c r="Y10" s="334">
        <f t="shared" ref="Y10:Y82" si="1">W10+X10</f>
        <v>80576136.457363114</v>
      </c>
      <c r="Z10" s="107" t="s">
        <v>690</v>
      </c>
      <c r="AB10" s="307">
        <f t="shared" si="0"/>
        <v>-15617161.355790503</v>
      </c>
    </row>
    <row r="11" spans="1:28" s="306" customFormat="1" ht="51" x14ac:dyDescent="0.25">
      <c r="A11" s="335" t="s">
        <v>131</v>
      </c>
      <c r="B11" s="67" t="s">
        <v>649</v>
      </c>
      <c r="C11" s="67" t="s">
        <v>151</v>
      </c>
      <c r="D11" s="69"/>
      <c r="E11" s="69">
        <v>80</v>
      </c>
      <c r="F11" s="68"/>
      <c r="G11" s="68">
        <v>757530</v>
      </c>
      <c r="H11" s="294">
        <v>0.93744680000000002</v>
      </c>
      <c r="I11" s="294">
        <v>1.0523809523809524</v>
      </c>
      <c r="J11" s="294">
        <v>1.06</v>
      </c>
      <c r="K11" s="68">
        <v>0</v>
      </c>
      <c r="L11" s="68">
        <v>63374609.855192788</v>
      </c>
      <c r="M11" s="68">
        <v>63374609.855192788</v>
      </c>
      <c r="N11" s="58" t="s">
        <v>151</v>
      </c>
      <c r="O11" s="69"/>
      <c r="P11" s="69">
        <v>80</v>
      </c>
      <c r="Q11" s="67"/>
      <c r="R11" s="68">
        <f>R10</f>
        <v>984789</v>
      </c>
      <c r="S11" s="332">
        <f>S$10</f>
        <v>0.93735480000000004</v>
      </c>
      <c r="T11" s="332">
        <f t="shared" ref="S11:U15" si="2">T$10</f>
        <v>1.0138088814763606</v>
      </c>
      <c r="U11" s="61">
        <f>U$10</f>
        <v>1.05</v>
      </c>
      <c r="V11" s="61"/>
      <c r="W11" s="343">
        <f>O11*Q11*S11*T11*U11</f>
        <v>0</v>
      </c>
      <c r="X11" s="333">
        <f>R11*S11*T11*U11*P11</f>
        <v>78610864.836451814</v>
      </c>
      <c r="Y11" s="334">
        <f t="shared" si="1"/>
        <v>78610864.836451814</v>
      </c>
      <c r="Z11" s="107" t="s">
        <v>691</v>
      </c>
      <c r="AB11" s="307">
        <f t="shared" si="0"/>
        <v>-15236254.981259026</v>
      </c>
    </row>
    <row r="12" spans="1:28" s="66" customFormat="1" ht="54.75" customHeight="1" x14ac:dyDescent="0.25">
      <c r="A12" s="62" t="s">
        <v>14</v>
      </c>
      <c r="B12" s="63" t="s">
        <v>15</v>
      </c>
      <c r="C12" s="63"/>
      <c r="D12" s="116"/>
      <c r="E12" s="116"/>
      <c r="F12" s="64"/>
      <c r="G12" s="64"/>
      <c r="H12" s="295"/>
      <c r="I12" s="295"/>
      <c r="J12" s="295"/>
      <c r="K12" s="64">
        <v>190982176.42591953</v>
      </c>
      <c r="L12" s="64">
        <v>0</v>
      </c>
      <c r="M12" s="64">
        <f>M13+M14+M15</f>
        <v>190982176.42591953</v>
      </c>
      <c r="N12" s="62"/>
      <c r="O12" s="116"/>
      <c r="P12" s="116"/>
      <c r="Q12" s="63"/>
      <c r="R12" s="63"/>
      <c r="S12" s="345"/>
      <c r="T12" s="345"/>
      <c r="U12" s="63"/>
      <c r="V12" s="63"/>
      <c r="W12" s="64">
        <f>W13+W14+W15</f>
        <v>236897301.48230964</v>
      </c>
      <c r="X12" s="64">
        <f>X13+X14+X15</f>
        <v>0</v>
      </c>
      <c r="Y12" s="64">
        <f>Y13+Y14+Y15</f>
        <v>236897301.48230964</v>
      </c>
      <c r="Z12" s="107"/>
      <c r="AA12" s="306"/>
      <c r="AB12" s="307">
        <f t="shared" si="0"/>
        <v>-45915125.056390107</v>
      </c>
    </row>
    <row r="13" spans="1:28" s="306" customFormat="1" ht="51" x14ac:dyDescent="0.25">
      <c r="A13" s="335" t="s">
        <v>131</v>
      </c>
      <c r="B13" s="67" t="s">
        <v>650</v>
      </c>
      <c r="C13" s="67" t="s">
        <v>16</v>
      </c>
      <c r="D13" s="69">
        <v>88</v>
      </c>
      <c r="E13" s="69"/>
      <c r="F13" s="68">
        <v>1026000</v>
      </c>
      <c r="G13" s="68"/>
      <c r="H13" s="294">
        <v>0.93744680000000002</v>
      </c>
      <c r="I13" s="294">
        <v>1.0523809523809524</v>
      </c>
      <c r="J13" s="294">
        <v>1.06</v>
      </c>
      <c r="K13" s="68">
        <v>94418154.637533262</v>
      </c>
      <c r="L13" s="68">
        <v>0</v>
      </c>
      <c r="M13" s="68">
        <v>94418154.637533262</v>
      </c>
      <c r="N13" s="58" t="s">
        <v>16</v>
      </c>
      <c r="O13" s="69">
        <v>88</v>
      </c>
      <c r="P13" s="69"/>
      <c r="Q13" s="68">
        <f>'Bảng lương'!I10*4</f>
        <v>1333800</v>
      </c>
      <c r="R13" s="67"/>
      <c r="S13" s="332">
        <f t="shared" si="2"/>
        <v>0.93735480000000004</v>
      </c>
      <c r="T13" s="332">
        <f t="shared" si="2"/>
        <v>1.0138088814763606</v>
      </c>
      <c r="U13" s="61">
        <f t="shared" si="2"/>
        <v>1.05</v>
      </c>
      <c r="V13" s="61"/>
      <c r="W13" s="333">
        <f>O13*Q13*S13*T13*U13</f>
        <v>117117767.02496207</v>
      </c>
      <c r="X13" s="333">
        <f>P13*R13</f>
        <v>0</v>
      </c>
      <c r="Y13" s="334">
        <f t="shared" si="1"/>
        <v>117117767.02496207</v>
      </c>
      <c r="Z13" s="107" t="s">
        <v>692</v>
      </c>
      <c r="AB13" s="307">
        <f t="shared" si="0"/>
        <v>-22699612.387428805</v>
      </c>
    </row>
    <row r="14" spans="1:28" s="306" customFormat="1" ht="51" x14ac:dyDescent="0.25">
      <c r="A14" s="335" t="s">
        <v>131</v>
      </c>
      <c r="B14" s="67" t="s">
        <v>651</v>
      </c>
      <c r="C14" s="67" t="s">
        <v>16</v>
      </c>
      <c r="D14" s="69">
        <v>80</v>
      </c>
      <c r="E14" s="69"/>
      <c r="F14" s="68">
        <v>1026000</v>
      </c>
      <c r="G14" s="68"/>
      <c r="H14" s="294">
        <v>0.93744680000000002</v>
      </c>
      <c r="I14" s="294">
        <v>1.0523809523809524</v>
      </c>
      <c r="J14" s="294">
        <v>1.06</v>
      </c>
      <c r="K14" s="68">
        <v>85834686.034121141</v>
      </c>
      <c r="L14" s="68">
        <v>0</v>
      </c>
      <c r="M14" s="68">
        <v>85834686.034121141</v>
      </c>
      <c r="N14" s="58" t="s">
        <v>16</v>
      </c>
      <c r="O14" s="69">
        <v>80</v>
      </c>
      <c r="P14" s="69"/>
      <c r="Q14" s="68">
        <f>Q13</f>
        <v>1333800</v>
      </c>
      <c r="R14" s="67"/>
      <c r="S14" s="332">
        <f t="shared" si="2"/>
        <v>0.93735480000000004</v>
      </c>
      <c r="T14" s="332">
        <f t="shared" si="2"/>
        <v>1.0138088814763606</v>
      </c>
      <c r="U14" s="61">
        <f t="shared" si="2"/>
        <v>1.05</v>
      </c>
      <c r="V14" s="61"/>
      <c r="W14" s="333">
        <f>O14*Q14*S14*T14*U14</f>
        <v>106470697.29542005</v>
      </c>
      <c r="X14" s="333">
        <f>P14*R14</f>
        <v>0</v>
      </c>
      <c r="Y14" s="334">
        <f t="shared" si="1"/>
        <v>106470697.29542005</v>
      </c>
      <c r="Z14" s="107" t="s">
        <v>693</v>
      </c>
      <c r="AB14" s="307">
        <f t="shared" si="0"/>
        <v>-20636011.26129891</v>
      </c>
    </row>
    <row r="15" spans="1:28" s="306" customFormat="1" ht="38.25" x14ac:dyDescent="0.25">
      <c r="A15" s="335" t="s">
        <v>131</v>
      </c>
      <c r="B15" s="67" t="s">
        <v>652</v>
      </c>
      <c r="C15" s="67" t="s">
        <v>17</v>
      </c>
      <c r="D15" s="69">
        <v>20</v>
      </c>
      <c r="E15" s="69"/>
      <c r="F15" s="68">
        <v>513000</v>
      </c>
      <c r="G15" s="68"/>
      <c r="H15" s="294">
        <v>0.93744680000000002</v>
      </c>
      <c r="I15" s="294">
        <v>1.0523809523809524</v>
      </c>
      <c r="J15" s="294">
        <v>1.06</v>
      </c>
      <c r="K15" s="68">
        <v>10729335.754265143</v>
      </c>
      <c r="L15" s="68">
        <v>0</v>
      </c>
      <c r="M15" s="68">
        <v>10729335.754265143</v>
      </c>
      <c r="N15" s="58" t="s">
        <v>17</v>
      </c>
      <c r="O15" s="69">
        <v>20</v>
      </c>
      <c r="P15" s="69"/>
      <c r="Q15" s="68">
        <f>Q14/2</f>
        <v>666900</v>
      </c>
      <c r="R15" s="67"/>
      <c r="S15" s="332">
        <f t="shared" si="2"/>
        <v>0.93735480000000004</v>
      </c>
      <c r="T15" s="332">
        <f t="shared" si="2"/>
        <v>1.0138088814763606</v>
      </c>
      <c r="U15" s="61">
        <f t="shared" si="2"/>
        <v>1.05</v>
      </c>
      <c r="V15" s="61"/>
      <c r="W15" s="333">
        <f>O15*Q15*S15*T15*U15</f>
        <v>13308837.161927506</v>
      </c>
      <c r="X15" s="333">
        <f>P15*R15</f>
        <v>0</v>
      </c>
      <c r="Y15" s="334">
        <f t="shared" si="1"/>
        <v>13308837.161927506</v>
      </c>
      <c r="Z15" s="107" t="s">
        <v>694</v>
      </c>
      <c r="AB15" s="307">
        <f t="shared" si="0"/>
        <v>-2579501.4076623637</v>
      </c>
    </row>
    <row r="16" spans="1:28" s="306" customFormat="1" ht="63" x14ac:dyDescent="0.25">
      <c r="A16" s="342">
        <v>2</v>
      </c>
      <c r="B16" s="59" t="s">
        <v>19</v>
      </c>
      <c r="C16" s="59"/>
      <c r="D16" s="69"/>
      <c r="E16" s="69"/>
      <c r="F16" s="60"/>
      <c r="G16" s="60"/>
      <c r="H16" s="293"/>
      <c r="I16" s="293"/>
      <c r="J16" s="293"/>
      <c r="K16" s="60">
        <v>467135608.29182148</v>
      </c>
      <c r="L16" s="60">
        <v>1578843626.2028282</v>
      </c>
      <c r="M16" s="60">
        <f>M17+M25</f>
        <v>2045979234.4946499</v>
      </c>
      <c r="N16" s="58"/>
      <c r="O16" s="69"/>
      <c r="P16" s="69"/>
      <c r="Q16" s="67"/>
      <c r="R16" s="67"/>
      <c r="S16" s="346"/>
      <c r="T16" s="346"/>
      <c r="U16" s="67"/>
      <c r="V16" s="67"/>
      <c r="W16" s="60">
        <f>W17+W25</f>
        <v>579442370.49552679</v>
      </c>
      <c r="X16" s="60">
        <f>X17+X25</f>
        <v>1323005287.9287999</v>
      </c>
      <c r="Y16" s="60">
        <f>Y17+Y25</f>
        <v>1902447658.4243269</v>
      </c>
      <c r="Z16" s="107" t="s">
        <v>695</v>
      </c>
      <c r="AB16" s="307">
        <f t="shared" si="0"/>
        <v>143531576.07032299</v>
      </c>
    </row>
    <row r="17" spans="1:31" s="308" customFormat="1" ht="27" x14ac:dyDescent="0.25">
      <c r="A17" s="62" t="s">
        <v>325</v>
      </c>
      <c r="B17" s="63" t="s">
        <v>159</v>
      </c>
      <c r="C17" s="63"/>
      <c r="D17" s="116"/>
      <c r="E17" s="116"/>
      <c r="F17" s="64"/>
      <c r="G17" s="64"/>
      <c r="H17" s="295"/>
      <c r="I17" s="295"/>
      <c r="J17" s="295"/>
      <c r="K17" s="64">
        <v>361988117.9000231</v>
      </c>
      <c r="L17" s="64">
        <v>12050832.274665467</v>
      </c>
      <c r="M17" s="64">
        <f>M18+M19+M22+M23+M24</f>
        <v>374038950.17468858</v>
      </c>
      <c r="N17" s="62"/>
      <c r="O17" s="116"/>
      <c r="P17" s="116"/>
      <c r="Q17" s="63"/>
      <c r="R17" s="63"/>
      <c r="S17" s="345"/>
      <c r="T17" s="345"/>
      <c r="U17" s="63"/>
      <c r="V17" s="63"/>
      <c r="W17" s="64">
        <f>W18+W19+W22+W23+W24</f>
        <v>449015766.30863726</v>
      </c>
      <c r="X17" s="64">
        <f>X18+X19+X22+X23+X24</f>
        <v>14948042.272371579</v>
      </c>
      <c r="Y17" s="64">
        <f>Y18+Y19+Y22+Y23+Y24</f>
        <v>463963808.58100885</v>
      </c>
      <c r="Z17" s="108"/>
      <c r="AB17" s="307">
        <f t="shared" si="0"/>
        <v>-89924858.406320274</v>
      </c>
    </row>
    <row r="18" spans="1:31" s="306" customFormat="1" ht="38.25" x14ac:dyDescent="0.25">
      <c r="A18" s="58" t="s">
        <v>145</v>
      </c>
      <c r="B18" s="67" t="s">
        <v>696</v>
      </c>
      <c r="C18" s="67" t="s">
        <v>152</v>
      </c>
      <c r="D18" s="69">
        <v>84</v>
      </c>
      <c r="E18" s="69"/>
      <c r="F18" s="68">
        <v>1014030</v>
      </c>
      <c r="G18" s="68"/>
      <c r="H18" s="294">
        <v>0.93744680000000002</v>
      </c>
      <c r="I18" s="294">
        <v>1.0523809523809524</v>
      </c>
      <c r="J18" s="294">
        <v>1.06</v>
      </c>
      <c r="K18" s="68">
        <v>89074945.431909218</v>
      </c>
      <c r="L18" s="68">
        <v>0</v>
      </c>
      <c r="M18" s="68">
        <v>89074945.431909218</v>
      </c>
      <c r="N18" s="58" t="s">
        <v>152</v>
      </c>
      <c r="O18" s="69">
        <v>84</v>
      </c>
      <c r="P18" s="69"/>
      <c r="Q18" s="68">
        <f>'Bảng lương'!I10*3+'Bảng lương'!I17</f>
        <v>1318239</v>
      </c>
      <c r="R18" s="67"/>
      <c r="S18" s="332">
        <f>S$10</f>
        <v>0.93735480000000004</v>
      </c>
      <c r="T18" s="332">
        <f>T$10</f>
        <v>1.0138088814763606</v>
      </c>
      <c r="U18" s="61">
        <f>U$10</f>
        <v>1.05</v>
      </c>
      <c r="V18" s="61"/>
      <c r="W18" s="333">
        <f>O18*Q18*S18*T18*U18</f>
        <v>110489966.11832218</v>
      </c>
      <c r="X18" s="333">
        <f>P18*R18</f>
        <v>0</v>
      </c>
      <c r="Y18" s="334">
        <f t="shared" si="1"/>
        <v>110489966.11832218</v>
      </c>
      <c r="Z18" s="107" t="s">
        <v>690</v>
      </c>
      <c r="AB18" s="307">
        <f t="shared" si="0"/>
        <v>-21415020.68641296</v>
      </c>
    </row>
    <row r="19" spans="1:31" s="306" customFormat="1" ht="38.25" x14ac:dyDescent="0.25">
      <c r="A19" s="58" t="s">
        <v>146</v>
      </c>
      <c r="B19" s="67" t="s">
        <v>700</v>
      </c>
      <c r="C19" s="67"/>
      <c r="D19" s="69"/>
      <c r="E19" s="69"/>
      <c r="F19" s="68"/>
      <c r="G19" s="68"/>
      <c r="H19" s="294"/>
      <c r="I19" s="294"/>
      <c r="J19" s="294"/>
      <c r="K19" s="68">
        <v>15051469.840608286</v>
      </c>
      <c r="L19" s="68">
        <v>12050832.274665467</v>
      </c>
      <c r="M19" s="68">
        <f>M20+M21</f>
        <v>27102302.115273751</v>
      </c>
      <c r="N19" s="58"/>
      <c r="O19" s="69"/>
      <c r="P19" s="69"/>
      <c r="Q19" s="67"/>
      <c r="R19" s="67"/>
      <c r="S19" s="346"/>
      <c r="T19" s="346"/>
      <c r="U19" s="67"/>
      <c r="V19" s="67"/>
      <c r="W19" s="334">
        <f>SUM(W20:W21)</f>
        <v>18670080.398657307</v>
      </c>
      <c r="X19" s="334">
        <f>SUM(X20:X21)</f>
        <v>14948042.272371579</v>
      </c>
      <c r="Y19" s="334">
        <f t="shared" si="1"/>
        <v>33618122.671028882</v>
      </c>
      <c r="Z19" s="107"/>
      <c r="AB19" s="307">
        <f t="shared" si="0"/>
        <v>-6515820.5557551309</v>
      </c>
    </row>
    <row r="20" spans="1:31" s="306" customFormat="1" ht="38.25" x14ac:dyDescent="0.25">
      <c r="A20" s="58" t="s">
        <v>131</v>
      </c>
      <c r="B20" s="67" t="s">
        <v>20</v>
      </c>
      <c r="C20" s="67" t="s">
        <v>153</v>
      </c>
      <c r="D20" s="69"/>
      <c r="E20" s="69">
        <v>23</v>
      </c>
      <c r="F20" s="68"/>
      <c r="G20" s="68">
        <v>501030</v>
      </c>
      <c r="H20" s="294">
        <v>0.93744680000000002</v>
      </c>
      <c r="I20" s="294">
        <v>1.0523809523809524</v>
      </c>
      <c r="J20" s="294">
        <v>1.06</v>
      </c>
      <c r="K20" s="68">
        <v>0</v>
      </c>
      <c r="L20" s="68">
        <v>12050832.274665467</v>
      </c>
      <c r="M20" s="68">
        <v>12050832.274665467</v>
      </c>
      <c r="N20" s="58" t="s">
        <v>153</v>
      </c>
      <c r="O20" s="69"/>
      <c r="P20" s="69">
        <v>23</v>
      </c>
      <c r="Q20" s="67"/>
      <c r="R20" s="68">
        <f>'Bảng lương'!I17+'Bảng lương'!I10</f>
        <v>651339</v>
      </c>
      <c r="S20" s="332">
        <f>S$10</f>
        <v>0.93735480000000004</v>
      </c>
      <c r="T20" s="332">
        <f>T$10</f>
        <v>1.0138088814763606</v>
      </c>
      <c r="U20" s="61">
        <f>U$10</f>
        <v>1.05</v>
      </c>
      <c r="V20" s="61"/>
      <c r="W20" s="333">
        <f>O20*Q20*S20*T20*U20</f>
        <v>0</v>
      </c>
      <c r="X20" s="333">
        <f>R20*S20*T20*U20*P20</f>
        <v>14948042.272371579</v>
      </c>
      <c r="Y20" s="334">
        <f t="shared" si="1"/>
        <v>14948042.272371579</v>
      </c>
      <c r="Z20" s="107" t="s">
        <v>697</v>
      </c>
      <c r="AB20" s="307">
        <f t="shared" si="0"/>
        <v>-2897209.9977061115</v>
      </c>
    </row>
    <row r="21" spans="1:31" s="306" customFormat="1" ht="38.25" x14ac:dyDescent="0.25">
      <c r="A21" s="58" t="s">
        <v>131</v>
      </c>
      <c r="B21" s="67" t="s">
        <v>699</v>
      </c>
      <c r="C21" s="67" t="s">
        <v>151</v>
      </c>
      <c r="D21" s="69">
        <v>19</v>
      </c>
      <c r="E21" s="69"/>
      <c r="F21" s="68">
        <v>757530</v>
      </c>
      <c r="G21" s="68"/>
      <c r="H21" s="294">
        <v>0.93744680000000002</v>
      </c>
      <c r="I21" s="294">
        <v>1.0523809523809524</v>
      </c>
      <c r="J21" s="294">
        <v>1.06</v>
      </c>
      <c r="K21" s="68">
        <v>15051469.840608286</v>
      </c>
      <c r="L21" s="68">
        <v>0</v>
      </c>
      <c r="M21" s="68">
        <v>15051469.840608286</v>
      </c>
      <c r="N21" s="58" t="s">
        <v>151</v>
      </c>
      <c r="O21" s="69">
        <v>19</v>
      </c>
      <c r="P21" s="69"/>
      <c r="Q21" s="68">
        <f>'Bảng lương'!I17+'Bảng lương'!I10*2</f>
        <v>984789</v>
      </c>
      <c r="R21" s="347"/>
      <c r="S21" s="332">
        <f t="shared" ref="S21:U24" si="3">S$10</f>
        <v>0.93735480000000004</v>
      </c>
      <c r="T21" s="332">
        <f t="shared" si="3"/>
        <v>1.0138088814763606</v>
      </c>
      <c r="U21" s="61">
        <f t="shared" si="3"/>
        <v>1.05</v>
      </c>
      <c r="V21" s="61"/>
      <c r="W21" s="333">
        <f>O21*Q21*S21*T21*U21</f>
        <v>18670080.398657307</v>
      </c>
      <c r="X21" s="333">
        <f>P21*R21</f>
        <v>0</v>
      </c>
      <c r="Y21" s="334">
        <f t="shared" si="1"/>
        <v>18670080.398657307</v>
      </c>
      <c r="Z21" s="107" t="s">
        <v>698</v>
      </c>
      <c r="AB21" s="307">
        <f t="shared" si="0"/>
        <v>-3618610.5580490213</v>
      </c>
    </row>
    <row r="22" spans="1:31" s="306" customFormat="1" ht="38.25" x14ac:dyDescent="0.25">
      <c r="A22" s="58" t="s">
        <v>147</v>
      </c>
      <c r="B22" s="67" t="s">
        <v>701</v>
      </c>
      <c r="C22" s="67" t="s">
        <v>154</v>
      </c>
      <c r="D22" s="69">
        <v>200</v>
      </c>
      <c r="E22" s="69"/>
      <c r="F22" s="68">
        <v>1002060</v>
      </c>
      <c r="G22" s="68"/>
      <c r="H22" s="294">
        <v>0.93744680000000002</v>
      </c>
      <c r="I22" s="294">
        <v>1.0523809523809524</v>
      </c>
      <c r="J22" s="294">
        <v>1.06</v>
      </c>
      <c r="K22" s="68">
        <v>209579691.73331249</v>
      </c>
      <c r="L22" s="68">
        <v>0</v>
      </c>
      <c r="M22" s="68">
        <v>209579691.73331249</v>
      </c>
      <c r="N22" s="58" t="s">
        <v>154</v>
      </c>
      <c r="O22" s="69">
        <v>200</v>
      </c>
      <c r="P22" s="69"/>
      <c r="Q22" s="68">
        <f>'Bảng lương'!I17*2+'Bảng lương'!I10*2</f>
        <v>1302678</v>
      </c>
      <c r="R22" s="67"/>
      <c r="S22" s="332">
        <f t="shared" si="3"/>
        <v>0.93735480000000004</v>
      </c>
      <c r="T22" s="332">
        <f t="shared" si="3"/>
        <v>1.0138088814763606</v>
      </c>
      <c r="U22" s="61">
        <f t="shared" si="3"/>
        <v>1.05</v>
      </c>
      <c r="V22" s="61"/>
      <c r="W22" s="333">
        <f>O22*Q22*S22*T22*U22</f>
        <v>259965952.56298399</v>
      </c>
      <c r="X22" s="333">
        <f>P22*R22</f>
        <v>0</v>
      </c>
      <c r="Y22" s="334">
        <f t="shared" si="1"/>
        <v>259965952.56298399</v>
      </c>
      <c r="Z22" s="107" t="s">
        <v>702</v>
      </c>
      <c r="AB22" s="307">
        <f t="shared" si="0"/>
        <v>-50386260.829671502</v>
      </c>
    </row>
    <row r="23" spans="1:31" s="306" customFormat="1" ht="25.5" x14ac:dyDescent="0.25">
      <c r="A23" s="58" t="s">
        <v>148</v>
      </c>
      <c r="B23" s="67" t="s">
        <v>23</v>
      </c>
      <c r="C23" s="67" t="s">
        <v>17</v>
      </c>
      <c r="D23" s="69">
        <v>20</v>
      </c>
      <c r="E23" s="69"/>
      <c r="F23" s="68">
        <v>513000</v>
      </c>
      <c r="G23" s="68"/>
      <c r="H23" s="294">
        <v>0.93744680000000002</v>
      </c>
      <c r="I23" s="294">
        <v>1.0523809523809524</v>
      </c>
      <c r="J23" s="294">
        <v>1.06</v>
      </c>
      <c r="K23" s="68">
        <v>10729335.754265143</v>
      </c>
      <c r="L23" s="68">
        <v>0</v>
      </c>
      <c r="M23" s="68">
        <v>10729335.754265143</v>
      </c>
      <c r="N23" s="58" t="s">
        <v>17</v>
      </c>
      <c r="O23" s="69">
        <v>20</v>
      </c>
      <c r="P23" s="69"/>
      <c r="Q23" s="68">
        <f>'Bảng lương'!I10*2</f>
        <v>666900</v>
      </c>
      <c r="R23" s="67"/>
      <c r="S23" s="332">
        <f t="shared" si="3"/>
        <v>0.93735480000000004</v>
      </c>
      <c r="T23" s="332">
        <f t="shared" si="3"/>
        <v>1.0138088814763606</v>
      </c>
      <c r="U23" s="61">
        <f t="shared" si="3"/>
        <v>1.05</v>
      </c>
      <c r="V23" s="61"/>
      <c r="W23" s="333">
        <f>O23*Q23*S23*T23*U23</f>
        <v>13308837.161927506</v>
      </c>
      <c r="X23" s="333">
        <f>P23*R23</f>
        <v>0</v>
      </c>
      <c r="Y23" s="334">
        <f t="shared" si="1"/>
        <v>13308837.161927506</v>
      </c>
      <c r="Z23" s="107" t="s">
        <v>704</v>
      </c>
      <c r="AB23" s="307">
        <f t="shared" si="0"/>
        <v>-2579501.4076623637</v>
      </c>
    </row>
    <row r="24" spans="1:31" s="306" customFormat="1" ht="25.5" x14ac:dyDescent="0.25">
      <c r="A24" s="58" t="s">
        <v>149</v>
      </c>
      <c r="B24" s="67" t="s">
        <v>703</v>
      </c>
      <c r="C24" s="67" t="s">
        <v>17</v>
      </c>
      <c r="D24" s="69">
        <v>70</v>
      </c>
      <c r="E24" s="69"/>
      <c r="F24" s="68">
        <v>513000</v>
      </c>
      <c r="G24" s="68"/>
      <c r="H24" s="294">
        <v>0.93744680000000002</v>
      </c>
      <c r="I24" s="294">
        <v>1.0523809523809524</v>
      </c>
      <c r="J24" s="294">
        <v>1.06</v>
      </c>
      <c r="K24" s="68">
        <v>37552675.139927998</v>
      </c>
      <c r="L24" s="68">
        <v>0</v>
      </c>
      <c r="M24" s="68">
        <v>37552675.139927998</v>
      </c>
      <c r="N24" s="58" t="s">
        <v>17</v>
      </c>
      <c r="O24" s="69">
        <v>70</v>
      </c>
      <c r="P24" s="69"/>
      <c r="Q24" s="68">
        <f>Q23</f>
        <v>666900</v>
      </c>
      <c r="R24" s="67"/>
      <c r="S24" s="332">
        <f t="shared" si="3"/>
        <v>0.93735480000000004</v>
      </c>
      <c r="T24" s="332">
        <f t="shared" si="3"/>
        <v>1.0138088814763606</v>
      </c>
      <c r="U24" s="61">
        <f t="shared" si="3"/>
        <v>1.05</v>
      </c>
      <c r="V24" s="61"/>
      <c r="W24" s="333">
        <f>O24*Q24*S24*T24*U24</f>
        <v>46580930.06674628</v>
      </c>
      <c r="X24" s="333">
        <f>P24*R24</f>
        <v>0</v>
      </c>
      <c r="Y24" s="334">
        <f t="shared" si="1"/>
        <v>46580930.06674628</v>
      </c>
      <c r="Z24" s="107" t="s">
        <v>705</v>
      </c>
      <c r="AB24" s="307">
        <f t="shared" si="0"/>
        <v>-9028254.9268182814</v>
      </c>
    </row>
    <row r="25" spans="1:31" s="66" customFormat="1" ht="27" x14ac:dyDescent="0.25">
      <c r="A25" s="62" t="s">
        <v>328</v>
      </c>
      <c r="B25" s="63" t="s">
        <v>189</v>
      </c>
      <c r="C25" s="63"/>
      <c r="D25" s="116"/>
      <c r="E25" s="116"/>
      <c r="F25" s="64"/>
      <c r="G25" s="64"/>
      <c r="H25" s="295"/>
      <c r="I25" s="295"/>
      <c r="J25" s="295"/>
      <c r="K25" s="64">
        <v>105147490.39179841</v>
      </c>
      <c r="L25" s="64">
        <v>1566792793.9281628</v>
      </c>
      <c r="M25" s="64">
        <f>M26+M29</f>
        <v>1671940284.3199613</v>
      </c>
      <c r="N25" s="62"/>
      <c r="O25" s="116"/>
      <c r="P25" s="116"/>
      <c r="Q25" s="63"/>
      <c r="R25" s="63"/>
      <c r="S25" s="345"/>
      <c r="T25" s="345"/>
      <c r="U25" s="63"/>
      <c r="V25" s="63"/>
      <c r="W25" s="64">
        <f>W26+W29</f>
        <v>130426604.18688959</v>
      </c>
      <c r="X25" s="64">
        <f>X26+X29</f>
        <v>1308057245.6564283</v>
      </c>
      <c r="Y25" s="64">
        <f>Y26+Y29</f>
        <v>1438483849.843318</v>
      </c>
      <c r="Z25" s="107"/>
      <c r="AA25" s="306"/>
      <c r="AB25" s="307">
        <f t="shared" si="0"/>
        <v>233456434.47664332</v>
      </c>
    </row>
    <row r="26" spans="1:31" s="306" customFormat="1" x14ac:dyDescent="0.25">
      <c r="A26" s="58" t="s">
        <v>145</v>
      </c>
      <c r="B26" s="67" t="s">
        <v>24</v>
      </c>
      <c r="C26" s="67"/>
      <c r="D26" s="69"/>
      <c r="E26" s="69"/>
      <c r="F26" s="68"/>
      <c r="G26" s="68"/>
      <c r="H26" s="294"/>
      <c r="I26" s="294"/>
      <c r="J26" s="294"/>
      <c r="K26" s="68">
        <v>0</v>
      </c>
      <c r="L26" s="68">
        <v>1566792793.9281628</v>
      </c>
      <c r="M26" s="68">
        <f>M27+M28</f>
        <v>1566792793.9281628</v>
      </c>
      <c r="N26" s="58"/>
      <c r="O26" s="69"/>
      <c r="P26" s="69"/>
      <c r="Q26" s="67"/>
      <c r="R26" s="67"/>
      <c r="S26" s="346"/>
      <c r="T26" s="346"/>
      <c r="U26" s="67"/>
      <c r="V26" s="67"/>
      <c r="W26" s="344">
        <f>SUM(W27:W28)</f>
        <v>0</v>
      </c>
      <c r="X26" s="68">
        <f>X27+X28</f>
        <v>1308057245.6564283</v>
      </c>
      <c r="Y26" s="68">
        <f>Y27+Y28</f>
        <v>1308057245.6564283</v>
      </c>
      <c r="Z26" s="107"/>
      <c r="AB26" s="307">
        <f t="shared" si="0"/>
        <v>258735548.27173448</v>
      </c>
    </row>
    <row r="27" spans="1:31" s="306" customFormat="1" ht="38.25" x14ac:dyDescent="0.25">
      <c r="A27" s="58" t="s">
        <v>131</v>
      </c>
      <c r="B27" s="67" t="s">
        <v>160</v>
      </c>
      <c r="C27" s="67" t="s">
        <v>151</v>
      </c>
      <c r="D27" s="69"/>
      <c r="E27" s="348">
        <v>104</v>
      </c>
      <c r="F27" s="68"/>
      <c r="G27" s="68">
        <v>757530</v>
      </c>
      <c r="H27" s="294">
        <v>0.93744680000000002</v>
      </c>
      <c r="I27" s="294">
        <v>1.0523809523809524</v>
      </c>
      <c r="J27" s="294">
        <v>1.06</v>
      </c>
      <c r="K27" s="68">
        <v>0</v>
      </c>
      <c r="L27" s="68">
        <v>82386992.811750621</v>
      </c>
      <c r="M27" s="68">
        <v>82386992.811750621</v>
      </c>
      <c r="N27" s="58" t="s">
        <v>151</v>
      </c>
      <c r="O27" s="69"/>
      <c r="P27" s="348">
        <v>104</v>
      </c>
      <c r="Q27" s="68"/>
      <c r="R27" s="68">
        <f>'Bảng lương'!I17+'Bảng lương'!I10*2</f>
        <v>984789</v>
      </c>
      <c r="S27" s="332">
        <f>S$10</f>
        <v>0.93735480000000004</v>
      </c>
      <c r="T27" s="332">
        <f>T$10</f>
        <v>1.0138088814763606</v>
      </c>
      <c r="U27" s="61">
        <f>U$10</f>
        <v>1.05</v>
      </c>
      <c r="V27" s="61"/>
      <c r="W27" s="333">
        <f>Q27*O27</f>
        <v>0</v>
      </c>
      <c r="X27" s="333">
        <f>R27*S27*T27*U27*P27</f>
        <v>102194124.28738736</v>
      </c>
      <c r="Y27" s="334">
        <f t="shared" si="1"/>
        <v>102194124.28738736</v>
      </c>
      <c r="Z27" s="107" t="s">
        <v>692</v>
      </c>
      <c r="AB27" s="307">
        <f t="shared" si="0"/>
        <v>-19807131.475636736</v>
      </c>
    </row>
    <row r="28" spans="1:31" s="306" customFormat="1" ht="47.25" x14ac:dyDescent="0.25">
      <c r="A28" s="58" t="s">
        <v>131</v>
      </c>
      <c r="B28" s="67" t="s">
        <v>606</v>
      </c>
      <c r="C28" s="67" t="s">
        <v>155</v>
      </c>
      <c r="D28" s="357"/>
      <c r="E28" s="69">
        <v>2833.11</v>
      </c>
      <c r="F28" s="68"/>
      <c r="G28" s="68">
        <v>501030</v>
      </c>
      <c r="H28" s="294">
        <v>0.93744680000000002</v>
      </c>
      <c r="I28" s="294">
        <v>1.0523809523809524</v>
      </c>
      <c r="J28" s="294">
        <v>1.06</v>
      </c>
      <c r="K28" s="68">
        <v>0</v>
      </c>
      <c r="L28" s="68">
        <v>1484405801.1164122</v>
      </c>
      <c r="M28" s="68">
        <v>1484405801.1164122</v>
      </c>
      <c r="N28" s="58" t="s">
        <v>155</v>
      </c>
      <c r="O28" s="69"/>
      <c r="P28" s="455">
        <f>'Số mẫu cần lấy'!M11/25*0.37+'Số mẫu cần lấy'!M12/15*0.2</f>
        <v>1851.3602307999995</v>
      </c>
      <c r="Q28" s="69"/>
      <c r="R28" s="69">
        <f>'Bảng lương'!I17+'Bảng lương'!I10</f>
        <v>651339</v>
      </c>
      <c r="S28" s="332"/>
      <c r="T28" s="332"/>
      <c r="U28" s="61"/>
      <c r="V28" s="61"/>
      <c r="W28" s="333">
        <f>Q28*O28</f>
        <v>0</v>
      </c>
      <c r="X28" s="333">
        <f>P28*R28</f>
        <v>1205863121.369041</v>
      </c>
      <c r="Y28" s="334">
        <f t="shared" si="1"/>
        <v>1205863121.369041</v>
      </c>
      <c r="Z28" s="107" t="s">
        <v>688</v>
      </c>
      <c r="AB28" s="307">
        <f t="shared" si="0"/>
        <v>278542679.7473712</v>
      </c>
      <c r="AE28" s="307"/>
    </row>
    <row r="29" spans="1:31" s="306" customFormat="1" x14ac:dyDescent="0.25">
      <c r="A29" s="58" t="s">
        <v>146</v>
      </c>
      <c r="B29" s="67" t="s">
        <v>161</v>
      </c>
      <c r="C29" s="67"/>
      <c r="D29" s="69"/>
      <c r="E29" s="69"/>
      <c r="F29" s="68"/>
      <c r="G29" s="68"/>
      <c r="H29" s="294"/>
      <c r="I29" s="294"/>
      <c r="J29" s="294"/>
      <c r="K29" s="68">
        <v>105147490.39179841</v>
      </c>
      <c r="L29" s="68">
        <v>0</v>
      </c>
      <c r="M29" s="68">
        <v>105147490.39179841</v>
      </c>
      <c r="N29" s="58"/>
      <c r="O29" s="69"/>
      <c r="P29" s="69"/>
      <c r="Q29" s="67"/>
      <c r="R29" s="67"/>
      <c r="S29" s="346"/>
      <c r="T29" s="346"/>
      <c r="U29" s="67"/>
      <c r="V29" s="67"/>
      <c r="W29" s="68">
        <f>W30+W31+W32</f>
        <v>130426604.18688959</v>
      </c>
      <c r="X29" s="68">
        <f>X30+X31+X32</f>
        <v>0</v>
      </c>
      <c r="Y29" s="68">
        <f>Y30+Y31+Y32</f>
        <v>130426604.18688959</v>
      </c>
      <c r="Z29" s="107"/>
      <c r="AB29" s="307">
        <f t="shared" si="0"/>
        <v>-25279113.795091182</v>
      </c>
    </row>
    <row r="30" spans="1:31" s="306" customFormat="1" ht="38.25" x14ac:dyDescent="0.25">
      <c r="A30" s="58" t="s">
        <v>131</v>
      </c>
      <c r="B30" s="67" t="s">
        <v>26</v>
      </c>
      <c r="C30" s="67" t="s">
        <v>27</v>
      </c>
      <c r="D30" s="69">
        <v>36</v>
      </c>
      <c r="E30" s="69"/>
      <c r="F30" s="68">
        <v>513000</v>
      </c>
      <c r="G30" s="68"/>
      <c r="H30" s="294">
        <v>0.93744680000000002</v>
      </c>
      <c r="I30" s="294">
        <v>1.0523809523809524</v>
      </c>
      <c r="J30" s="294">
        <v>1.06</v>
      </c>
      <c r="K30" s="68">
        <v>19312804.357677259</v>
      </c>
      <c r="L30" s="68">
        <v>0</v>
      </c>
      <c r="M30" s="68">
        <v>19312804.357677259</v>
      </c>
      <c r="N30" s="58" t="s">
        <v>27</v>
      </c>
      <c r="O30" s="69">
        <v>36</v>
      </c>
      <c r="P30" s="69"/>
      <c r="Q30" s="68">
        <f>'Bảng lương'!I9+'Bảng lương'!I11</f>
        <v>666900</v>
      </c>
      <c r="R30" s="67"/>
      <c r="S30" s="332">
        <f t="shared" ref="S30:U32" si="4">S$10</f>
        <v>0.93735480000000004</v>
      </c>
      <c r="T30" s="332">
        <f t="shared" si="4"/>
        <v>1.0138088814763606</v>
      </c>
      <c r="U30" s="61">
        <f t="shared" si="4"/>
        <v>1.05</v>
      </c>
      <c r="V30" s="61"/>
      <c r="W30" s="333">
        <f>O30*Q30*S30*T30*U30</f>
        <v>23955906.891469516</v>
      </c>
      <c r="X30" s="333">
        <f>P30*R30</f>
        <v>0</v>
      </c>
      <c r="Y30" s="334">
        <f t="shared" si="1"/>
        <v>23955906.891469516</v>
      </c>
      <c r="Z30" s="107" t="s">
        <v>706</v>
      </c>
      <c r="AB30" s="307">
        <f t="shared" si="0"/>
        <v>-4643102.5337922573</v>
      </c>
    </row>
    <row r="31" spans="1:31" s="306" customFormat="1" ht="51" x14ac:dyDescent="0.25">
      <c r="A31" s="58" t="s">
        <v>131</v>
      </c>
      <c r="B31" s="67" t="s">
        <v>709</v>
      </c>
      <c r="C31" s="67" t="s">
        <v>17</v>
      </c>
      <c r="D31" s="69">
        <v>60</v>
      </c>
      <c r="E31" s="69"/>
      <c r="F31" s="68">
        <v>513000</v>
      </c>
      <c r="G31" s="68"/>
      <c r="H31" s="294">
        <v>0.93744680000000002</v>
      </c>
      <c r="I31" s="294">
        <v>1.0523809523809524</v>
      </c>
      <c r="J31" s="294">
        <v>1.06</v>
      </c>
      <c r="K31" s="68">
        <v>32188007.26279543</v>
      </c>
      <c r="L31" s="68">
        <v>0</v>
      </c>
      <c r="M31" s="68">
        <v>32188007.26279543</v>
      </c>
      <c r="N31" s="58" t="s">
        <v>17</v>
      </c>
      <c r="O31" s="69">
        <v>60</v>
      </c>
      <c r="P31" s="69"/>
      <c r="Q31" s="68">
        <f>'Bảng lương'!I10*2</f>
        <v>666900</v>
      </c>
      <c r="R31" s="67"/>
      <c r="S31" s="332">
        <f t="shared" si="4"/>
        <v>0.93735480000000004</v>
      </c>
      <c r="T31" s="332">
        <f t="shared" si="4"/>
        <v>1.0138088814763606</v>
      </c>
      <c r="U31" s="61">
        <f t="shared" si="4"/>
        <v>1.05</v>
      </c>
      <c r="V31" s="61"/>
      <c r="W31" s="333">
        <f>O31*Q31*S31*T31*U31</f>
        <v>39926511.485782526</v>
      </c>
      <c r="X31" s="333">
        <f>P31*R31</f>
        <v>0</v>
      </c>
      <c r="Y31" s="334">
        <f t="shared" si="1"/>
        <v>39926511.485782526</v>
      </c>
      <c r="Z31" s="107" t="s">
        <v>707</v>
      </c>
      <c r="AB31" s="307">
        <f t="shared" si="0"/>
        <v>-7738504.2229870968</v>
      </c>
    </row>
    <row r="32" spans="1:31" s="306" customFormat="1" ht="25.5" x14ac:dyDescent="0.25">
      <c r="A32" s="58" t="s">
        <v>131</v>
      </c>
      <c r="B32" s="67" t="s">
        <v>28</v>
      </c>
      <c r="C32" s="67" t="s">
        <v>17</v>
      </c>
      <c r="D32" s="69">
        <v>100</v>
      </c>
      <c r="E32" s="69"/>
      <c r="F32" s="68">
        <v>513000</v>
      </c>
      <c r="G32" s="68"/>
      <c r="H32" s="294">
        <v>0.93744680000000002</v>
      </c>
      <c r="I32" s="294">
        <v>1.0523809523809524</v>
      </c>
      <c r="J32" s="294">
        <v>1.06</v>
      </c>
      <c r="K32" s="68">
        <v>53646678.771325722</v>
      </c>
      <c r="L32" s="68">
        <v>0</v>
      </c>
      <c r="M32" s="68">
        <v>53646678.771325722</v>
      </c>
      <c r="N32" s="58" t="s">
        <v>17</v>
      </c>
      <c r="O32" s="69">
        <v>100</v>
      </c>
      <c r="P32" s="69"/>
      <c r="Q32" s="68">
        <f>Q31</f>
        <v>666900</v>
      </c>
      <c r="R32" s="67"/>
      <c r="S32" s="332">
        <f t="shared" si="4"/>
        <v>0.93735480000000004</v>
      </c>
      <c r="T32" s="332">
        <f t="shared" si="4"/>
        <v>1.0138088814763606</v>
      </c>
      <c r="U32" s="61">
        <f t="shared" si="4"/>
        <v>1.05</v>
      </c>
      <c r="V32" s="61"/>
      <c r="W32" s="333">
        <f>O32*Q32*S32*T32*U32</f>
        <v>66544185.809637539</v>
      </c>
      <c r="X32" s="333">
        <f>P32*R32</f>
        <v>0</v>
      </c>
      <c r="Y32" s="334">
        <f t="shared" si="1"/>
        <v>66544185.809637539</v>
      </c>
      <c r="Z32" s="107" t="s">
        <v>708</v>
      </c>
      <c r="AB32" s="307">
        <f t="shared" si="0"/>
        <v>-12897507.038311817</v>
      </c>
    </row>
    <row r="33" spans="1:28" s="306" customFormat="1" ht="63" x14ac:dyDescent="0.25">
      <c r="A33" s="342">
        <v>3</v>
      </c>
      <c r="B33" s="59" t="s">
        <v>157</v>
      </c>
      <c r="C33" s="59"/>
      <c r="D33" s="69"/>
      <c r="E33" s="69"/>
      <c r="F33" s="60"/>
      <c r="G33" s="60"/>
      <c r="H33" s="293"/>
      <c r="I33" s="293"/>
      <c r="J33" s="293"/>
      <c r="K33" s="60">
        <v>606004585.17022729</v>
      </c>
      <c r="L33" s="60">
        <v>0</v>
      </c>
      <c r="M33" s="60">
        <f>SUM(M34:M39)</f>
        <v>606004585.17022729</v>
      </c>
      <c r="N33" s="58"/>
      <c r="O33" s="69"/>
      <c r="P33" s="69"/>
      <c r="Q33" s="67"/>
      <c r="R33" s="67"/>
      <c r="S33" s="346"/>
      <c r="T33" s="346"/>
      <c r="U33" s="67"/>
      <c r="V33" s="67"/>
      <c r="W33" s="60">
        <f>W34+W35+W36+W37+W38+W39</f>
        <v>652191686.45240009</v>
      </c>
      <c r="X33" s="60">
        <f>X34+X35+X36+X37+X38+X39</f>
        <v>0</v>
      </c>
      <c r="Y33" s="60">
        <f>Y34+Y35+Y36+Y37+Y38+Y39</f>
        <v>652191686.45240009</v>
      </c>
      <c r="Z33" s="107" t="s">
        <v>710</v>
      </c>
      <c r="AB33" s="307">
        <f t="shared" si="0"/>
        <v>-46187101.282172799</v>
      </c>
    </row>
    <row r="34" spans="1:28" s="306" customFormat="1" ht="63.75" x14ac:dyDescent="0.25">
      <c r="A34" s="335" t="s">
        <v>131</v>
      </c>
      <c r="B34" s="67" t="s">
        <v>29</v>
      </c>
      <c r="C34" s="67" t="s">
        <v>27</v>
      </c>
      <c r="D34" s="69">
        <v>31</v>
      </c>
      <c r="E34" s="69"/>
      <c r="F34" s="68">
        <v>513000</v>
      </c>
      <c r="G34" s="68"/>
      <c r="H34" s="294">
        <v>0.93744680000000002</v>
      </c>
      <c r="I34" s="294">
        <v>1.0523809523809524</v>
      </c>
      <c r="J34" s="294">
        <v>1.06</v>
      </c>
      <c r="K34" s="68">
        <v>16630470.419110972</v>
      </c>
      <c r="L34" s="68">
        <v>0</v>
      </c>
      <c r="M34" s="68">
        <v>16630470.419110972</v>
      </c>
      <c r="N34" s="58" t="s">
        <v>27</v>
      </c>
      <c r="O34" s="69">
        <v>31</v>
      </c>
      <c r="P34" s="69"/>
      <c r="Q34" s="68">
        <f>Q32</f>
        <v>666900</v>
      </c>
      <c r="R34" s="67"/>
      <c r="S34" s="332">
        <f t="shared" ref="S34:U39" si="5">S$10</f>
        <v>0.93735480000000004</v>
      </c>
      <c r="T34" s="332">
        <f t="shared" si="5"/>
        <v>1.0138088814763606</v>
      </c>
      <c r="U34" s="61">
        <f t="shared" si="5"/>
        <v>1.05</v>
      </c>
      <c r="V34" s="61"/>
      <c r="W34" s="333">
        <f>O34*Q34*S34*T34*U34</f>
        <v>20628697.600987639</v>
      </c>
      <c r="X34" s="333">
        <f t="shared" ref="X34:X39" si="6">P34*R34</f>
        <v>0</v>
      </c>
      <c r="Y34" s="334">
        <f t="shared" si="1"/>
        <v>20628697.600987639</v>
      </c>
      <c r="Z34" s="107" t="s">
        <v>711</v>
      </c>
      <c r="AB34" s="307">
        <f t="shared" si="0"/>
        <v>-3998227.1818766668</v>
      </c>
    </row>
    <row r="35" spans="1:28" s="306" customFormat="1" ht="38.25" x14ac:dyDescent="0.25">
      <c r="A35" s="335" t="s">
        <v>131</v>
      </c>
      <c r="B35" s="67" t="s">
        <v>712</v>
      </c>
      <c r="C35" s="67" t="s">
        <v>155</v>
      </c>
      <c r="D35" s="69">
        <v>143</v>
      </c>
      <c r="E35" s="69"/>
      <c r="F35" s="68">
        <v>501030</v>
      </c>
      <c r="G35" s="68"/>
      <c r="H35" s="294">
        <v>0.93744680000000002</v>
      </c>
      <c r="I35" s="294">
        <v>1.0523809523809524</v>
      </c>
      <c r="J35" s="294">
        <v>1.06</v>
      </c>
      <c r="K35" s="68">
        <v>74924739.794659212</v>
      </c>
      <c r="L35" s="68">
        <v>0</v>
      </c>
      <c r="M35" s="68">
        <v>74924739.794659212</v>
      </c>
      <c r="N35" s="58" t="s">
        <v>155</v>
      </c>
      <c r="O35" s="69">
        <v>143</v>
      </c>
      <c r="P35" s="69"/>
      <c r="Q35" s="68">
        <f>'Bảng lương'!I17+'Bảng lương'!I10</f>
        <v>651339</v>
      </c>
      <c r="R35" s="67"/>
      <c r="S35" s="332">
        <f t="shared" si="5"/>
        <v>0.93735480000000004</v>
      </c>
      <c r="T35" s="332">
        <f t="shared" si="5"/>
        <v>1.0138088814763606</v>
      </c>
      <c r="U35" s="61">
        <f t="shared" si="5"/>
        <v>1.05</v>
      </c>
      <c r="V35" s="61"/>
      <c r="W35" s="333">
        <f>O35*Q35*S35*T35*U35</f>
        <v>92937828.041266784</v>
      </c>
      <c r="X35" s="333">
        <f t="shared" si="6"/>
        <v>0</v>
      </c>
      <c r="Y35" s="334">
        <f t="shared" si="1"/>
        <v>92937828.041266784</v>
      </c>
      <c r="Z35" s="107" t="s">
        <v>713</v>
      </c>
      <c r="AB35" s="307">
        <f t="shared" si="0"/>
        <v>-18013088.246607572</v>
      </c>
    </row>
    <row r="36" spans="1:28" s="306" customFormat="1" ht="63.75" x14ac:dyDescent="0.25">
      <c r="A36" s="335" t="s">
        <v>131</v>
      </c>
      <c r="B36" s="67" t="s">
        <v>30</v>
      </c>
      <c r="C36" s="67" t="s">
        <v>17</v>
      </c>
      <c r="D36" s="69">
        <v>68</v>
      </c>
      <c r="E36" s="69"/>
      <c r="F36" s="68">
        <v>513000</v>
      </c>
      <c r="G36" s="68"/>
      <c r="H36" s="294">
        <v>0.93744680000000002</v>
      </c>
      <c r="I36" s="294">
        <v>1.0523809523809524</v>
      </c>
      <c r="J36" s="294">
        <v>1.06</v>
      </c>
      <c r="K36" s="68">
        <v>36479741.564501487</v>
      </c>
      <c r="L36" s="68">
        <v>0</v>
      </c>
      <c r="M36" s="68">
        <v>36479741.564501487</v>
      </c>
      <c r="N36" s="58" t="s">
        <v>17</v>
      </c>
      <c r="O36" s="69">
        <v>68</v>
      </c>
      <c r="P36" s="69"/>
      <c r="Q36" s="68">
        <f>Q34</f>
        <v>666900</v>
      </c>
      <c r="R36" s="67"/>
      <c r="S36" s="332">
        <f t="shared" si="5"/>
        <v>0.93735480000000004</v>
      </c>
      <c r="T36" s="332">
        <f t="shared" si="5"/>
        <v>1.0138088814763606</v>
      </c>
      <c r="U36" s="61">
        <f t="shared" si="5"/>
        <v>1.05</v>
      </c>
      <c r="V36" s="61"/>
      <c r="W36" s="333">
        <f>O36*Q36*S36*T36*U36</f>
        <v>45250046.350553535</v>
      </c>
      <c r="X36" s="333">
        <f t="shared" si="6"/>
        <v>0</v>
      </c>
      <c r="Y36" s="334">
        <f t="shared" si="1"/>
        <v>45250046.350553535</v>
      </c>
      <c r="Z36" s="107" t="s">
        <v>714</v>
      </c>
      <c r="AB36" s="307">
        <f t="shared" si="0"/>
        <v>-8770304.7860520482</v>
      </c>
    </row>
    <row r="37" spans="1:28" s="306" customFormat="1" ht="38.25" x14ac:dyDescent="0.25">
      <c r="A37" s="335" t="s">
        <v>131</v>
      </c>
      <c r="B37" s="67" t="s">
        <v>716</v>
      </c>
      <c r="C37" s="67" t="s">
        <v>155</v>
      </c>
      <c r="D37" s="69">
        <v>332</v>
      </c>
      <c r="E37" s="69"/>
      <c r="F37" s="68">
        <v>501030</v>
      </c>
      <c r="G37" s="68"/>
      <c r="H37" s="294">
        <v>0.93744680000000002</v>
      </c>
      <c r="I37" s="294">
        <v>1.0523809523809524</v>
      </c>
      <c r="J37" s="294">
        <v>1.06</v>
      </c>
      <c r="K37" s="68">
        <v>173951144.13864934</v>
      </c>
      <c r="L37" s="68">
        <v>0</v>
      </c>
      <c r="M37" s="68">
        <v>173951144.13864934</v>
      </c>
      <c r="N37" s="58" t="s">
        <v>155</v>
      </c>
      <c r="O37" s="69">
        <v>332</v>
      </c>
      <c r="P37" s="69"/>
      <c r="Q37" s="68">
        <f>Q35</f>
        <v>651339</v>
      </c>
      <c r="R37" s="67"/>
      <c r="S37" s="332">
        <f t="shared" si="5"/>
        <v>0.93735480000000004</v>
      </c>
      <c r="T37" s="332">
        <f t="shared" si="5"/>
        <v>1.0138088814763606</v>
      </c>
      <c r="U37" s="61">
        <f t="shared" si="5"/>
        <v>1.05</v>
      </c>
      <c r="V37" s="61"/>
      <c r="W37" s="333">
        <f>O37*Q37*S37*T37*U37</f>
        <v>215771740.62727672</v>
      </c>
      <c r="X37" s="333">
        <f t="shared" si="6"/>
        <v>0</v>
      </c>
      <c r="Y37" s="334">
        <f t="shared" si="1"/>
        <v>215771740.62727672</v>
      </c>
      <c r="Z37" s="107" t="s">
        <v>715</v>
      </c>
      <c r="AB37" s="307">
        <f t="shared" si="0"/>
        <v>-41820596.488627374</v>
      </c>
    </row>
    <row r="38" spans="1:28" s="306" customFormat="1" ht="38.25" x14ac:dyDescent="0.25">
      <c r="A38" s="335" t="s">
        <v>131</v>
      </c>
      <c r="B38" s="67" t="s">
        <v>717</v>
      </c>
      <c r="C38" s="67" t="s">
        <v>154</v>
      </c>
      <c r="D38" s="69">
        <v>260</v>
      </c>
      <c r="E38" s="69"/>
      <c r="F38" s="68">
        <v>1002060</v>
      </c>
      <c r="G38" s="68"/>
      <c r="H38" s="294">
        <v>0.93744680000000002</v>
      </c>
      <c r="I38" s="294">
        <v>1.0523809523809524</v>
      </c>
      <c r="J38" s="294">
        <v>1.06</v>
      </c>
      <c r="K38" s="68">
        <v>272453599.25330621</v>
      </c>
      <c r="L38" s="68">
        <v>0</v>
      </c>
      <c r="M38" s="68">
        <v>272453599.25330621</v>
      </c>
      <c r="N38" s="58" t="s">
        <v>154</v>
      </c>
      <c r="O38" s="69">
        <v>182</v>
      </c>
      <c r="P38" s="69"/>
      <c r="Q38" s="68">
        <f>Q37*2</f>
        <v>1302678</v>
      </c>
      <c r="R38" s="67"/>
      <c r="S38" s="332">
        <f t="shared" si="5"/>
        <v>0.93735480000000004</v>
      </c>
      <c r="T38" s="332">
        <f t="shared" si="5"/>
        <v>1.0138088814763606</v>
      </c>
      <c r="U38" s="61">
        <f t="shared" si="5"/>
        <v>1.05</v>
      </c>
      <c r="V38" s="61"/>
      <c r="W38" s="333">
        <f>O38*Q38*S38*T38*U38</f>
        <v>236569016.83231542</v>
      </c>
      <c r="X38" s="333">
        <f t="shared" si="6"/>
        <v>0</v>
      </c>
      <c r="Y38" s="334">
        <f t="shared" si="1"/>
        <v>236569016.83231542</v>
      </c>
      <c r="Z38" s="107" t="s">
        <v>718</v>
      </c>
      <c r="AB38" s="307">
        <f t="shared" si="0"/>
        <v>35884582.420990795</v>
      </c>
    </row>
    <row r="39" spans="1:28" s="306" customFormat="1" ht="38.25" x14ac:dyDescent="0.25">
      <c r="A39" s="335" t="s">
        <v>131</v>
      </c>
      <c r="B39" s="67" t="s">
        <v>720</v>
      </c>
      <c r="C39" s="67" t="s">
        <v>155</v>
      </c>
      <c r="D39" s="69">
        <v>63</v>
      </c>
      <c r="E39" s="69"/>
      <c r="F39" s="68">
        <v>501030</v>
      </c>
      <c r="G39" s="68"/>
      <c r="H39" s="294">
        <v>0.93744680000000002</v>
      </c>
      <c r="I39" s="294">
        <v>1.0523809523809524</v>
      </c>
      <c r="J39" s="294">
        <v>1.06</v>
      </c>
      <c r="K39" s="68">
        <v>31564890</v>
      </c>
      <c r="L39" s="68">
        <v>0</v>
      </c>
      <c r="M39" s="68">
        <v>31564890</v>
      </c>
      <c r="N39" s="58" t="s">
        <v>155</v>
      </c>
      <c r="O39" s="69">
        <v>63</v>
      </c>
      <c r="P39" s="69"/>
      <c r="Q39" s="68">
        <f>Q37</f>
        <v>651339</v>
      </c>
      <c r="R39" s="67"/>
      <c r="S39" s="332">
        <f t="shared" si="5"/>
        <v>0.93735480000000004</v>
      </c>
      <c r="T39" s="332">
        <f t="shared" si="5"/>
        <v>1.0138088814763606</v>
      </c>
      <c r="U39" s="61">
        <f t="shared" si="5"/>
        <v>1.05</v>
      </c>
      <c r="V39" s="61"/>
      <c r="W39" s="333">
        <f>Q39*O39</f>
        <v>41034357</v>
      </c>
      <c r="X39" s="333">
        <f t="shared" si="6"/>
        <v>0</v>
      </c>
      <c r="Y39" s="334">
        <f t="shared" si="1"/>
        <v>41034357</v>
      </c>
      <c r="Z39" s="107" t="s">
        <v>719</v>
      </c>
      <c r="AB39" s="307">
        <f t="shared" si="0"/>
        <v>-9469467</v>
      </c>
    </row>
    <row r="40" spans="1:28" s="306" customFormat="1" ht="63" x14ac:dyDescent="0.25">
      <c r="A40" s="342">
        <v>4</v>
      </c>
      <c r="B40" s="435" t="s">
        <v>828</v>
      </c>
      <c r="C40" s="59"/>
      <c r="D40" s="61"/>
      <c r="E40" s="61"/>
      <c r="F40" s="60"/>
      <c r="G40" s="60"/>
      <c r="H40" s="293"/>
      <c r="I40" s="293"/>
      <c r="J40" s="293"/>
      <c r="K40" s="60">
        <v>2590156426.878768</v>
      </c>
      <c r="L40" s="60">
        <v>0</v>
      </c>
      <c r="M40" s="60">
        <f>M41+M50+M53</f>
        <v>2765228786.6037383</v>
      </c>
      <c r="N40" s="58"/>
      <c r="O40" s="61"/>
      <c r="P40" s="61"/>
      <c r="Q40" s="67"/>
      <c r="R40" s="67"/>
      <c r="S40" s="67"/>
      <c r="T40" s="67"/>
      <c r="U40" s="67"/>
      <c r="V40" s="67"/>
      <c r="W40" s="60">
        <f>W41+W53+W50</f>
        <v>1699830733.7504709</v>
      </c>
      <c r="X40" s="60">
        <f>X41+X53</f>
        <v>0</v>
      </c>
      <c r="Y40" s="60">
        <f>Y41+Y53+Y50</f>
        <v>1699830733.7504709</v>
      </c>
      <c r="Z40" s="107" t="s">
        <v>722</v>
      </c>
      <c r="AB40" s="307">
        <f t="shared" si="0"/>
        <v>1065398052.8532674</v>
      </c>
    </row>
    <row r="41" spans="1:28" s="66" customFormat="1" ht="40.5" x14ac:dyDescent="0.25">
      <c r="A41" s="62" t="s">
        <v>338</v>
      </c>
      <c r="B41" s="436" t="s">
        <v>829</v>
      </c>
      <c r="C41" s="63"/>
      <c r="D41" s="271"/>
      <c r="E41" s="65"/>
      <c r="F41" s="64"/>
      <c r="G41" s="64"/>
      <c r="H41" s="295"/>
      <c r="I41" s="295"/>
      <c r="J41" s="295"/>
      <c r="K41" s="64">
        <v>643763721.70115995</v>
      </c>
      <c r="L41" s="64">
        <v>0</v>
      </c>
      <c r="M41" s="64">
        <f>SUM(M42:M49)</f>
        <v>643763721.70115995</v>
      </c>
      <c r="N41" s="62"/>
      <c r="O41" s="271"/>
      <c r="P41" s="65"/>
      <c r="Q41" s="63"/>
      <c r="R41" s="63"/>
      <c r="S41" s="63"/>
      <c r="T41" s="63"/>
      <c r="U41" s="63"/>
      <c r="V41" s="63"/>
      <c r="W41" s="64">
        <f>W42+W43+W44+W45+W46+W47+W48+W49</f>
        <v>784777764.64832556</v>
      </c>
      <c r="X41" s="64">
        <f>X42+X43+X44+X45+X46+X48+X49</f>
        <v>0</v>
      </c>
      <c r="Y41" s="64">
        <f>Y42+Y43+Y44+Y45+Y46+Y47+Y48+Y49</f>
        <v>784777764.64832556</v>
      </c>
      <c r="Z41" s="107"/>
      <c r="AA41" s="306"/>
      <c r="AB41" s="307">
        <f t="shared" si="0"/>
        <v>-141014042.94716561</v>
      </c>
    </row>
    <row r="42" spans="1:28" s="306" customFormat="1" ht="38.25" x14ac:dyDescent="0.25">
      <c r="A42" s="335" t="s">
        <v>131</v>
      </c>
      <c r="B42" s="67" t="s">
        <v>721</v>
      </c>
      <c r="C42" s="67" t="s">
        <v>155</v>
      </c>
      <c r="D42" s="69">
        <v>4</v>
      </c>
      <c r="E42" s="69"/>
      <c r="F42" s="68">
        <v>501030</v>
      </c>
      <c r="G42" s="68"/>
      <c r="H42" s="294">
        <v>0.93744680000000002</v>
      </c>
      <c r="I42" s="294">
        <v>1.0523809523809524</v>
      </c>
      <c r="J42" s="294">
        <v>1.06</v>
      </c>
      <c r="K42" s="68">
        <v>2095796.9173331247</v>
      </c>
      <c r="L42" s="68">
        <v>0</v>
      </c>
      <c r="M42" s="68">
        <v>2095796.9173331247</v>
      </c>
      <c r="N42" s="58" t="s">
        <v>155</v>
      </c>
      <c r="O42" s="69">
        <v>4</v>
      </c>
      <c r="P42" s="69"/>
      <c r="Q42" s="68">
        <f>'Bảng lương'!I17+'Bảng lương'!I10</f>
        <v>651339</v>
      </c>
      <c r="R42" s="67"/>
      <c r="S42" s="332">
        <f t="shared" ref="S42:U54" si="7">S$10</f>
        <v>0.93735480000000004</v>
      </c>
      <c r="T42" s="332">
        <f t="shared" si="7"/>
        <v>1.0138088814763606</v>
      </c>
      <c r="U42" s="61">
        <f t="shared" si="7"/>
        <v>1.05</v>
      </c>
      <c r="V42" s="61"/>
      <c r="W42" s="333">
        <f>O42*Q42*S42*T42*U42</f>
        <v>2599659.5256298399</v>
      </c>
      <c r="X42" s="333">
        <f t="shared" ref="X42:X49" si="8">P42*R42</f>
        <v>0</v>
      </c>
      <c r="Y42" s="334">
        <f t="shared" si="1"/>
        <v>2599659.5256298399</v>
      </c>
      <c r="Z42" s="107" t="s">
        <v>723</v>
      </c>
      <c r="AB42" s="307">
        <f t="shared" si="0"/>
        <v>-503862.60829671519</v>
      </c>
    </row>
    <row r="43" spans="1:28" s="306" customFormat="1" ht="38.25" x14ac:dyDescent="0.25">
      <c r="A43" s="335" t="s">
        <v>131</v>
      </c>
      <c r="B43" s="67" t="s">
        <v>192</v>
      </c>
      <c r="C43" s="67" t="s">
        <v>151</v>
      </c>
      <c r="D43" s="69">
        <v>120</v>
      </c>
      <c r="E43" s="69"/>
      <c r="F43" s="68">
        <v>757530</v>
      </c>
      <c r="G43" s="68"/>
      <c r="H43" s="294">
        <v>0.93744680000000002</v>
      </c>
      <c r="I43" s="294">
        <v>1.0523809523809524</v>
      </c>
      <c r="J43" s="294">
        <v>1.06</v>
      </c>
      <c r="K43" s="68">
        <v>95061914.782789171</v>
      </c>
      <c r="L43" s="68">
        <v>0</v>
      </c>
      <c r="M43" s="68">
        <v>95061914.782789171</v>
      </c>
      <c r="N43" s="58" t="s">
        <v>151</v>
      </c>
      <c r="O43" s="69">
        <v>120</v>
      </c>
      <c r="P43" s="69"/>
      <c r="Q43" s="68">
        <f>'Bảng lương'!I17+2*'Bảng lương'!I10</f>
        <v>984789</v>
      </c>
      <c r="R43" s="67"/>
      <c r="S43" s="332">
        <f t="shared" si="7"/>
        <v>0.93735480000000004</v>
      </c>
      <c r="T43" s="332">
        <f t="shared" si="7"/>
        <v>1.0138088814763606</v>
      </c>
      <c r="U43" s="61">
        <f t="shared" si="7"/>
        <v>1.05</v>
      </c>
      <c r="V43" s="61"/>
      <c r="W43" s="333">
        <f t="shared" ref="W43:W49" si="9">O43*Q43*S43*T43*U43</f>
        <v>117916297.25467773</v>
      </c>
      <c r="X43" s="333">
        <f t="shared" si="8"/>
        <v>0</v>
      </c>
      <c r="Y43" s="334">
        <f t="shared" si="1"/>
        <v>117916297.25467773</v>
      </c>
      <c r="Z43" s="107" t="s">
        <v>724</v>
      </c>
      <c r="AB43" s="307">
        <f t="shared" si="0"/>
        <v>-22854382.471888557</v>
      </c>
    </row>
    <row r="44" spans="1:28" s="306" customFormat="1" ht="38.25" x14ac:dyDescent="0.25">
      <c r="A44" s="335" t="s">
        <v>131</v>
      </c>
      <c r="B44" s="67" t="s">
        <v>654</v>
      </c>
      <c r="C44" s="67" t="s">
        <v>151</v>
      </c>
      <c r="D44" s="69">
        <v>70</v>
      </c>
      <c r="E44" s="69"/>
      <c r="F44" s="68">
        <v>757530</v>
      </c>
      <c r="G44" s="68"/>
      <c r="H44" s="294">
        <v>0.93744680000000002</v>
      </c>
      <c r="I44" s="294">
        <v>1.0523809523809524</v>
      </c>
      <c r="J44" s="294">
        <v>1.06</v>
      </c>
      <c r="K44" s="68">
        <v>55452783.62329369</v>
      </c>
      <c r="L44" s="68">
        <v>0</v>
      </c>
      <c r="M44" s="68">
        <v>55452783.62329369</v>
      </c>
      <c r="N44" s="58" t="s">
        <v>151</v>
      </c>
      <c r="O44" s="69">
        <v>70</v>
      </c>
      <c r="P44" s="69"/>
      <c r="Q44" s="68">
        <f>Q43</f>
        <v>984789</v>
      </c>
      <c r="R44" s="67"/>
      <c r="S44" s="332">
        <f t="shared" si="7"/>
        <v>0.93735480000000004</v>
      </c>
      <c r="T44" s="332">
        <f t="shared" si="7"/>
        <v>1.0138088814763606</v>
      </c>
      <c r="U44" s="61">
        <f t="shared" si="7"/>
        <v>1.05</v>
      </c>
      <c r="V44" s="61"/>
      <c r="W44" s="333">
        <f t="shared" si="9"/>
        <v>68784506.731895342</v>
      </c>
      <c r="X44" s="333">
        <f t="shared" si="8"/>
        <v>0</v>
      </c>
      <c r="Y44" s="334">
        <f t="shared" si="1"/>
        <v>68784506.731895342</v>
      </c>
      <c r="Z44" s="107" t="s">
        <v>725</v>
      </c>
      <c r="AB44" s="307">
        <f t="shared" si="0"/>
        <v>-13331723.108601652</v>
      </c>
    </row>
    <row r="45" spans="1:28" s="306" customFormat="1" ht="51" x14ac:dyDescent="0.25">
      <c r="A45" s="335" t="s">
        <v>131</v>
      </c>
      <c r="B45" s="67" t="s">
        <v>726</v>
      </c>
      <c r="C45" s="67" t="s">
        <v>151</v>
      </c>
      <c r="D45" s="69">
        <v>320</v>
      </c>
      <c r="E45" s="69"/>
      <c r="F45" s="68">
        <v>757530</v>
      </c>
      <c r="G45" s="68"/>
      <c r="H45" s="294">
        <v>0.93744680000000002</v>
      </c>
      <c r="I45" s="294">
        <v>1.0523809523809524</v>
      </c>
      <c r="J45" s="294">
        <v>1.06</v>
      </c>
      <c r="K45" s="68">
        <v>253498439.42077115</v>
      </c>
      <c r="L45" s="68">
        <v>0</v>
      </c>
      <c r="M45" s="68">
        <v>253498439.42077115</v>
      </c>
      <c r="N45" s="58" t="s">
        <v>151</v>
      </c>
      <c r="O45" s="69">
        <v>320</v>
      </c>
      <c r="P45" s="69"/>
      <c r="Q45" s="68">
        <f>Q44</f>
        <v>984789</v>
      </c>
      <c r="R45" s="67"/>
      <c r="S45" s="332">
        <f t="shared" si="7"/>
        <v>0.93735480000000004</v>
      </c>
      <c r="T45" s="332">
        <f t="shared" si="7"/>
        <v>1.0138088814763606</v>
      </c>
      <c r="U45" s="61">
        <f t="shared" si="7"/>
        <v>1.05</v>
      </c>
      <c r="V45" s="61"/>
      <c r="W45" s="333">
        <f t="shared" si="9"/>
        <v>314443459.34580731</v>
      </c>
      <c r="X45" s="333">
        <f t="shared" si="8"/>
        <v>0</v>
      </c>
      <c r="Y45" s="334">
        <f t="shared" si="1"/>
        <v>314443459.34580731</v>
      </c>
      <c r="Z45" s="107" t="s">
        <v>730</v>
      </c>
      <c r="AB45" s="307">
        <f t="shared" si="0"/>
        <v>-60945019.925036162</v>
      </c>
    </row>
    <row r="46" spans="1:28" s="306" customFormat="1" ht="51" x14ac:dyDescent="0.25">
      <c r="A46" s="335" t="s">
        <v>131</v>
      </c>
      <c r="B46" s="67" t="s">
        <v>727</v>
      </c>
      <c r="C46" s="67" t="s">
        <v>151</v>
      </c>
      <c r="D46" s="69">
        <v>120</v>
      </c>
      <c r="E46" s="69"/>
      <c r="F46" s="68">
        <v>757530</v>
      </c>
      <c r="G46" s="68"/>
      <c r="H46" s="294">
        <v>0.93744680000000002</v>
      </c>
      <c r="I46" s="294">
        <v>1.0523809523809524</v>
      </c>
      <c r="J46" s="294">
        <v>1.06</v>
      </c>
      <c r="K46" s="68">
        <v>95061914.782789171</v>
      </c>
      <c r="L46" s="68">
        <v>0</v>
      </c>
      <c r="M46" s="68">
        <v>95061914.782789171</v>
      </c>
      <c r="N46" s="58" t="s">
        <v>151</v>
      </c>
      <c r="O46" s="69">
        <v>120</v>
      </c>
      <c r="P46" s="69"/>
      <c r="Q46" s="68">
        <f>Q45</f>
        <v>984789</v>
      </c>
      <c r="R46" s="67"/>
      <c r="S46" s="332">
        <f t="shared" si="7"/>
        <v>0.93735480000000004</v>
      </c>
      <c r="T46" s="332">
        <f t="shared" si="7"/>
        <v>1.0138088814763606</v>
      </c>
      <c r="U46" s="61">
        <f t="shared" si="7"/>
        <v>1.05</v>
      </c>
      <c r="V46" s="61"/>
      <c r="W46" s="333">
        <f t="shared" si="9"/>
        <v>117916297.25467773</v>
      </c>
      <c r="X46" s="333">
        <f t="shared" si="8"/>
        <v>0</v>
      </c>
      <c r="Y46" s="334">
        <f t="shared" si="1"/>
        <v>117916297.25467773</v>
      </c>
      <c r="Z46" s="107" t="s">
        <v>728</v>
      </c>
      <c r="AB46" s="307">
        <f t="shared" si="0"/>
        <v>-22854382.471888557</v>
      </c>
    </row>
    <row r="47" spans="1:28" s="306" customFormat="1" ht="51" x14ac:dyDescent="0.25">
      <c r="A47" s="335" t="s">
        <v>131</v>
      </c>
      <c r="B47" s="67" t="s">
        <v>605</v>
      </c>
      <c r="C47" s="67" t="s">
        <v>151</v>
      </c>
      <c r="D47" s="69">
        <v>154</v>
      </c>
      <c r="E47" s="69"/>
      <c r="F47" s="68">
        <v>757530</v>
      </c>
      <c r="G47" s="68"/>
      <c r="H47" s="294">
        <v>0.93744680000000002</v>
      </c>
      <c r="I47" s="294">
        <v>1.0523809523809524</v>
      </c>
      <c r="J47" s="294">
        <v>1.06</v>
      </c>
      <c r="K47" s="68">
        <v>121996123.97124609</v>
      </c>
      <c r="L47" s="68">
        <v>0</v>
      </c>
      <c r="M47" s="68">
        <v>121996123.97124609</v>
      </c>
      <c r="N47" s="58" t="s">
        <v>151</v>
      </c>
      <c r="O47" s="69">
        <v>154</v>
      </c>
      <c r="P47" s="69"/>
      <c r="Q47" s="68">
        <f>Q45</f>
        <v>984789</v>
      </c>
      <c r="R47" s="67"/>
      <c r="S47" s="332">
        <f t="shared" si="7"/>
        <v>0.93735480000000004</v>
      </c>
      <c r="T47" s="332">
        <f t="shared" si="7"/>
        <v>1.0138088814763606</v>
      </c>
      <c r="U47" s="61">
        <f t="shared" si="7"/>
        <v>1.05</v>
      </c>
      <c r="V47" s="61"/>
      <c r="W47" s="333">
        <f t="shared" si="9"/>
        <v>151325914.81016976</v>
      </c>
      <c r="X47" s="333">
        <f>P47*R47</f>
        <v>0</v>
      </c>
      <c r="Y47" s="334">
        <f>W47+X47</f>
        <v>151325914.81016976</v>
      </c>
      <c r="Z47" s="107" t="s">
        <v>729</v>
      </c>
      <c r="AB47" s="307">
        <f t="shared" si="0"/>
        <v>-29329790.838923663</v>
      </c>
    </row>
    <row r="48" spans="1:28" s="306" customFormat="1" ht="38.25" x14ac:dyDescent="0.25">
      <c r="A48" s="335" t="s">
        <v>131</v>
      </c>
      <c r="B48" s="67" t="s">
        <v>655</v>
      </c>
      <c r="C48" s="67" t="s">
        <v>151</v>
      </c>
      <c r="D48" s="69">
        <v>12</v>
      </c>
      <c r="E48" s="69"/>
      <c r="F48" s="68">
        <v>757530</v>
      </c>
      <c r="G48" s="68"/>
      <c r="H48" s="294">
        <v>0.93744680000000002</v>
      </c>
      <c r="I48" s="294">
        <v>1.0523809523809524</v>
      </c>
      <c r="J48" s="294">
        <v>1.06</v>
      </c>
      <c r="K48" s="68">
        <v>9506191.4782789182</v>
      </c>
      <c r="L48" s="68">
        <v>0</v>
      </c>
      <c r="M48" s="68">
        <v>9506191.4782789182</v>
      </c>
      <c r="N48" s="58" t="s">
        <v>151</v>
      </c>
      <c r="O48" s="69">
        <v>12</v>
      </c>
      <c r="P48" s="69"/>
      <c r="Q48" s="68">
        <f>Q46</f>
        <v>984789</v>
      </c>
      <c r="R48" s="67"/>
      <c r="S48" s="332">
        <f t="shared" si="7"/>
        <v>0.93735480000000004</v>
      </c>
      <c r="T48" s="332">
        <f t="shared" si="7"/>
        <v>1.0138088814763606</v>
      </c>
      <c r="U48" s="61">
        <f t="shared" si="7"/>
        <v>1.05</v>
      </c>
      <c r="V48" s="61"/>
      <c r="W48" s="333">
        <f t="shared" si="9"/>
        <v>11791629.725467773</v>
      </c>
      <c r="X48" s="333">
        <f t="shared" si="8"/>
        <v>0</v>
      </c>
      <c r="Y48" s="334">
        <f t="shared" si="1"/>
        <v>11791629.725467773</v>
      </c>
      <c r="Z48" s="107" t="s">
        <v>731</v>
      </c>
      <c r="AB48" s="307">
        <f t="shared" si="0"/>
        <v>-2285438.247188855</v>
      </c>
    </row>
    <row r="49" spans="1:28" s="306" customFormat="1" ht="38.25" hidden="1" x14ac:dyDescent="0.25">
      <c r="A49" s="335" t="s">
        <v>131</v>
      </c>
      <c r="B49" s="67" t="s">
        <v>656</v>
      </c>
      <c r="C49" s="67" t="s">
        <v>151</v>
      </c>
      <c r="D49" s="69">
        <v>14</v>
      </c>
      <c r="E49" s="69"/>
      <c r="F49" s="68">
        <v>757530</v>
      </c>
      <c r="G49" s="68"/>
      <c r="H49" s="294">
        <v>0.93744680000000002</v>
      </c>
      <c r="I49" s="294">
        <v>1.0523809523809524</v>
      </c>
      <c r="J49" s="294">
        <v>1.06</v>
      </c>
      <c r="K49" s="68">
        <v>11090556.724658739</v>
      </c>
      <c r="L49" s="68">
        <v>0</v>
      </c>
      <c r="M49" s="68">
        <v>11090556.724658739</v>
      </c>
      <c r="N49" s="58" t="s">
        <v>151</v>
      </c>
      <c r="O49" s="69"/>
      <c r="P49" s="69"/>
      <c r="Q49" s="68">
        <f>Q48</f>
        <v>984789</v>
      </c>
      <c r="R49" s="67"/>
      <c r="S49" s="332">
        <f t="shared" si="7"/>
        <v>0.93735480000000004</v>
      </c>
      <c r="T49" s="332">
        <f t="shared" si="7"/>
        <v>1.0138088814763606</v>
      </c>
      <c r="U49" s="61">
        <f t="shared" si="7"/>
        <v>1.05</v>
      </c>
      <c r="V49" s="61"/>
      <c r="W49" s="333">
        <f t="shared" si="9"/>
        <v>0</v>
      </c>
      <c r="X49" s="333">
        <f t="shared" si="8"/>
        <v>0</v>
      </c>
      <c r="Y49" s="334">
        <f t="shared" si="1"/>
        <v>0</v>
      </c>
      <c r="Z49" s="107" t="s">
        <v>101</v>
      </c>
      <c r="AB49" s="307">
        <f t="shared" si="0"/>
        <v>11090556.724658739</v>
      </c>
    </row>
    <row r="50" spans="1:28" s="306" customFormat="1" ht="54" x14ac:dyDescent="0.25">
      <c r="A50" s="62" t="s">
        <v>345</v>
      </c>
      <c r="B50" s="63" t="s">
        <v>616</v>
      </c>
      <c r="C50" s="63"/>
      <c r="D50" s="358"/>
      <c r="E50" s="358"/>
      <c r="F50" s="64"/>
      <c r="G50" s="64"/>
      <c r="H50" s="295"/>
      <c r="I50" s="295"/>
      <c r="J50" s="295"/>
      <c r="K50" s="64">
        <v>175072359.72497007</v>
      </c>
      <c r="L50" s="64">
        <v>0</v>
      </c>
      <c r="M50" s="64">
        <f>M51+M52</f>
        <v>175072359.72497007</v>
      </c>
      <c r="N50" s="62"/>
      <c r="O50" s="358"/>
      <c r="P50" s="358"/>
      <c r="Q50" s="63"/>
      <c r="R50" s="63"/>
      <c r="S50" s="63"/>
      <c r="T50" s="63"/>
      <c r="U50" s="63"/>
      <c r="V50" s="63"/>
      <c r="W50" s="64">
        <f>W51+W52</f>
        <v>94599244.102145359</v>
      </c>
      <c r="X50" s="64">
        <f>X51+X52</f>
        <v>0</v>
      </c>
      <c r="Y50" s="64">
        <f>Y51+Y52</f>
        <v>94599244.102145359</v>
      </c>
      <c r="Z50" s="107"/>
      <c r="AB50" s="307">
        <f t="shared" si="0"/>
        <v>80473115.622824714</v>
      </c>
    </row>
    <row r="51" spans="1:28" s="306" customFormat="1" ht="38.25" hidden="1" x14ac:dyDescent="0.25">
      <c r="A51" s="335" t="s">
        <v>131</v>
      </c>
      <c r="B51" s="67" t="s">
        <v>638</v>
      </c>
      <c r="C51" s="67" t="s">
        <v>151</v>
      </c>
      <c r="D51" s="61">
        <f>12*17*50%</f>
        <v>102</v>
      </c>
      <c r="E51" s="69"/>
      <c r="F51" s="68">
        <v>757530</v>
      </c>
      <c r="G51" s="68"/>
      <c r="H51" s="294">
        <v>0.93744680000000002</v>
      </c>
      <c r="I51" s="294">
        <v>1.0523809523809524</v>
      </c>
      <c r="J51" s="294">
        <v>1.06</v>
      </c>
      <c r="K51" s="68">
        <v>80802627.565370813</v>
      </c>
      <c r="L51" s="68">
        <v>0</v>
      </c>
      <c r="M51" s="68">
        <v>80802627.565370813</v>
      </c>
      <c r="N51" s="58" t="s">
        <v>151</v>
      </c>
      <c r="O51" s="69"/>
      <c r="P51" s="69"/>
      <c r="Q51" s="68">
        <f>'Bảng lương'!J17+2*'Bảng lương'!J10</f>
        <v>984789</v>
      </c>
      <c r="R51" s="67"/>
      <c r="S51" s="332">
        <v>0.9</v>
      </c>
      <c r="T51" s="332">
        <f>T$10</f>
        <v>1.0138088814763606</v>
      </c>
      <c r="U51" s="61">
        <v>0.94</v>
      </c>
      <c r="V51" s="61"/>
      <c r="W51" s="333">
        <f>$O51*$Q51*S51*T51*U51</f>
        <v>0</v>
      </c>
      <c r="X51" s="333">
        <f>P51*R51</f>
        <v>0</v>
      </c>
      <c r="Y51" s="334">
        <f>W51+X51</f>
        <v>0</v>
      </c>
      <c r="Z51" s="107" t="s">
        <v>103</v>
      </c>
      <c r="AB51" s="307">
        <f t="shared" si="0"/>
        <v>80802627.565370813</v>
      </c>
    </row>
    <row r="52" spans="1:28" s="306" customFormat="1" ht="38.25" x14ac:dyDescent="0.25">
      <c r="A52" s="335" t="s">
        <v>131</v>
      </c>
      <c r="B52" s="67" t="s">
        <v>602</v>
      </c>
      <c r="C52" s="67" t="s">
        <v>151</v>
      </c>
      <c r="D52" s="61">
        <f>14*17*50%</f>
        <v>119</v>
      </c>
      <c r="E52" s="69"/>
      <c r="F52" s="68">
        <v>757530</v>
      </c>
      <c r="G52" s="68"/>
      <c r="H52" s="294">
        <v>0.93744680000000002</v>
      </c>
      <c r="I52" s="294">
        <v>1.0523809523809524</v>
      </c>
      <c r="J52" s="294">
        <v>1.06</v>
      </c>
      <c r="K52" s="68">
        <v>94269732.159599259</v>
      </c>
      <c r="L52" s="68">
        <v>0</v>
      </c>
      <c r="M52" s="68">
        <v>94269732.159599259</v>
      </c>
      <c r="N52" s="58" t="s">
        <v>151</v>
      </c>
      <c r="O52" s="437">
        <f>14*16*0.5</f>
        <v>112</v>
      </c>
      <c r="P52" s="69"/>
      <c r="Q52" s="68">
        <f>Q51</f>
        <v>984789</v>
      </c>
      <c r="R52" s="67"/>
      <c r="S52" s="332">
        <v>0.9</v>
      </c>
      <c r="T52" s="332">
        <f>T$10</f>
        <v>1.0138088814763606</v>
      </c>
      <c r="U52" s="61">
        <v>0.94</v>
      </c>
      <c r="V52" s="61"/>
      <c r="W52" s="333">
        <f>$O52*$Q52*S52*T52*U52</f>
        <v>94599244.102145359</v>
      </c>
      <c r="X52" s="333">
        <f>P52*R52</f>
        <v>0</v>
      </c>
      <c r="Y52" s="334">
        <f>W52+X52</f>
        <v>94599244.102145359</v>
      </c>
      <c r="Z52" s="107" t="s">
        <v>732</v>
      </c>
      <c r="AB52" s="307">
        <f t="shared" si="0"/>
        <v>-329511.94254609942</v>
      </c>
    </row>
    <row r="53" spans="1:28" s="66" customFormat="1" ht="54" x14ac:dyDescent="0.25">
      <c r="A53" s="62" t="s">
        <v>350</v>
      </c>
      <c r="B53" s="63" t="s">
        <v>604</v>
      </c>
      <c r="C53" s="63"/>
      <c r="D53" s="358"/>
      <c r="E53" s="358"/>
      <c r="F53" s="64"/>
      <c r="G53" s="64"/>
      <c r="H53" s="295"/>
      <c r="I53" s="295"/>
      <c r="J53" s="295"/>
      <c r="K53" s="64">
        <v>1946392705.1776083</v>
      </c>
      <c r="L53" s="64">
        <v>0</v>
      </c>
      <c r="M53" s="64">
        <f>M54+M55</f>
        <v>1946392705.1776083</v>
      </c>
      <c r="N53" s="62"/>
      <c r="O53" s="358"/>
      <c r="P53" s="358"/>
      <c r="Q53" s="63"/>
      <c r="R53" s="63"/>
      <c r="S53" s="63"/>
      <c r="T53" s="63"/>
      <c r="U53" s="63"/>
      <c r="V53" s="63"/>
      <c r="W53" s="64">
        <f>W54+W55</f>
        <v>820453725</v>
      </c>
      <c r="X53" s="64">
        <f>X54+X55</f>
        <v>0</v>
      </c>
      <c r="Y53" s="64">
        <f>Y54+Y55</f>
        <v>820453725</v>
      </c>
      <c r="Z53" s="107" t="s">
        <v>102</v>
      </c>
      <c r="AA53" s="306"/>
      <c r="AB53" s="307">
        <f t="shared" si="0"/>
        <v>1125938980.1776083</v>
      </c>
    </row>
    <row r="54" spans="1:28" s="306" customFormat="1" ht="38.25" hidden="1" x14ac:dyDescent="0.25">
      <c r="A54" s="335" t="s">
        <v>131</v>
      </c>
      <c r="B54" s="67" t="s">
        <v>190</v>
      </c>
      <c r="C54" s="67" t="s">
        <v>151</v>
      </c>
      <c r="D54" s="61">
        <f>12*378*25%</f>
        <v>1134</v>
      </c>
      <c r="E54" s="69"/>
      <c r="F54" s="68">
        <v>757530</v>
      </c>
      <c r="G54" s="68"/>
      <c r="H54" s="294">
        <v>0.93744680000000002</v>
      </c>
      <c r="I54" s="294">
        <v>1.0523809523809524</v>
      </c>
      <c r="J54" s="294">
        <v>1.06</v>
      </c>
      <c r="K54" s="68">
        <v>898335094.69735765</v>
      </c>
      <c r="L54" s="68">
        <v>0</v>
      </c>
      <c r="M54" s="68">
        <v>898335094.69735765</v>
      </c>
      <c r="N54" s="58" t="s">
        <v>151</v>
      </c>
      <c r="O54" s="61"/>
      <c r="P54" s="69"/>
      <c r="Q54" s="68">
        <f>'Bảng lương'!I17+2*'Bảng lương'!I10</f>
        <v>984789</v>
      </c>
      <c r="R54" s="67"/>
      <c r="S54" s="332">
        <f t="shared" si="7"/>
        <v>0.93735480000000004</v>
      </c>
      <c r="T54" s="332">
        <f t="shared" si="7"/>
        <v>1.0138088814763606</v>
      </c>
      <c r="U54" s="61">
        <f t="shared" si="7"/>
        <v>1.05</v>
      </c>
      <c r="V54" s="61"/>
      <c r="W54" s="333">
        <f>$O54*$Q54*S54*T54*U54</f>
        <v>0</v>
      </c>
      <c r="X54" s="333">
        <f>P54*R54</f>
        <v>0</v>
      </c>
      <c r="Y54" s="334">
        <f t="shared" si="1"/>
        <v>0</v>
      </c>
      <c r="Z54" s="107" t="s">
        <v>103</v>
      </c>
      <c r="AB54" s="307">
        <f t="shared" si="0"/>
        <v>898335094.69735765</v>
      </c>
    </row>
    <row r="55" spans="1:28" s="306" customFormat="1" ht="63" x14ac:dyDescent="0.25">
      <c r="A55" s="335" t="s">
        <v>131</v>
      </c>
      <c r="B55" s="67" t="s">
        <v>635</v>
      </c>
      <c r="C55" s="67" t="s">
        <v>151</v>
      </c>
      <c r="D55" s="61">
        <f>14*378*25%</f>
        <v>1323</v>
      </c>
      <c r="E55" s="69"/>
      <c r="F55" s="68">
        <v>757530</v>
      </c>
      <c r="G55" s="68"/>
      <c r="H55" s="294">
        <v>0.93744680000000002</v>
      </c>
      <c r="I55" s="294">
        <v>1.0523809523809524</v>
      </c>
      <c r="J55" s="294">
        <v>1.06</v>
      </c>
      <c r="K55" s="68">
        <v>1048057610.4802506</v>
      </c>
      <c r="L55" s="68">
        <v>0</v>
      </c>
      <c r="M55" s="68">
        <v>1048057610.4802506</v>
      </c>
      <c r="N55" s="58" t="s">
        <v>323</v>
      </c>
      <c r="O55" s="437">
        <f>7*370</f>
        <v>2590</v>
      </c>
      <c r="P55" s="69"/>
      <c r="Q55" s="68">
        <f>'Bảng lương'!I10</f>
        <v>333450</v>
      </c>
      <c r="R55" s="67"/>
      <c r="S55" s="332"/>
      <c r="T55" s="332"/>
      <c r="U55" s="61"/>
      <c r="V55" s="61">
        <v>0.95</v>
      </c>
      <c r="W55" s="333">
        <f>O55*Q55*V55</f>
        <v>820453725</v>
      </c>
      <c r="X55" s="333">
        <f>P55*R55</f>
        <v>0</v>
      </c>
      <c r="Y55" s="334">
        <f t="shared" si="1"/>
        <v>820453725</v>
      </c>
      <c r="Z55" s="107" t="s">
        <v>733</v>
      </c>
      <c r="AB55" s="307">
        <f t="shared" si="0"/>
        <v>227603885.4802506</v>
      </c>
    </row>
    <row r="56" spans="1:28" s="306" customFormat="1" ht="61.5" customHeight="1" x14ac:dyDescent="0.25">
      <c r="A56" s="342">
        <v>5</v>
      </c>
      <c r="B56" s="435" t="s">
        <v>830</v>
      </c>
      <c r="C56" s="59"/>
      <c r="D56" s="61"/>
      <c r="E56" s="61"/>
      <c r="F56" s="60"/>
      <c r="G56" s="60"/>
      <c r="H56" s="293"/>
      <c r="I56" s="293"/>
      <c r="J56" s="293"/>
      <c r="K56" s="60">
        <v>1512036911.7207122</v>
      </c>
      <c r="L56" s="60">
        <v>0</v>
      </c>
      <c r="M56" s="60">
        <f>M57+M77+M85+M88+M95</f>
        <v>1512036911.7207122</v>
      </c>
      <c r="N56" s="58"/>
      <c r="O56" s="61"/>
      <c r="P56" s="61"/>
      <c r="Q56" s="67"/>
      <c r="R56" s="67"/>
      <c r="S56" s="67"/>
      <c r="T56" s="67"/>
      <c r="U56" s="67"/>
      <c r="V56" s="67"/>
      <c r="W56" s="60">
        <f>W57+W77+W85+W88+W95</f>
        <v>1610253878.1555467</v>
      </c>
      <c r="X56" s="60">
        <f>X57+X77+X88</f>
        <v>0</v>
      </c>
      <c r="Y56" s="60">
        <f>Y57+Y77+Y85+Y88+Y95</f>
        <v>1610253878.1555467</v>
      </c>
      <c r="Z56" s="107"/>
      <c r="AB56" s="307">
        <f t="shared" si="0"/>
        <v>-98216966.43483448</v>
      </c>
    </row>
    <row r="57" spans="1:28" s="306" customFormat="1" ht="27" x14ac:dyDescent="0.25">
      <c r="A57" s="62" t="s">
        <v>365</v>
      </c>
      <c r="B57" s="63" t="s">
        <v>543</v>
      </c>
      <c r="C57" s="63"/>
      <c r="D57" s="61"/>
      <c r="E57" s="61"/>
      <c r="F57" s="64"/>
      <c r="G57" s="64"/>
      <c r="H57" s="295"/>
      <c r="I57" s="295"/>
      <c r="J57" s="295"/>
      <c r="K57" s="64">
        <v>598666535.30335796</v>
      </c>
      <c r="L57" s="64">
        <v>0</v>
      </c>
      <c r="M57" s="64">
        <f>M58+M64+M68+M71</f>
        <v>598666535.30335796</v>
      </c>
      <c r="N57" s="58"/>
      <c r="O57" s="61"/>
      <c r="P57" s="61"/>
      <c r="Q57" s="67"/>
      <c r="R57" s="67"/>
      <c r="S57" s="67"/>
      <c r="T57" s="67"/>
      <c r="U57" s="67"/>
      <c r="V57" s="67"/>
      <c r="W57" s="64">
        <f>W58+W64+W68+W71</f>
        <v>742595405.26359606</v>
      </c>
      <c r="X57" s="64">
        <f>X58+X64+X68+X71</f>
        <v>0</v>
      </c>
      <c r="Y57" s="64">
        <f>Y58+Y64+Y68+Y71</f>
        <v>742595405.26359606</v>
      </c>
      <c r="Z57" s="107"/>
      <c r="AB57" s="307">
        <f t="shared" si="0"/>
        <v>-143928869.9602381</v>
      </c>
    </row>
    <row r="58" spans="1:28" s="306" customFormat="1" ht="63" x14ac:dyDescent="0.25">
      <c r="A58" s="62" t="s">
        <v>145</v>
      </c>
      <c r="B58" s="117" t="s">
        <v>195</v>
      </c>
      <c r="C58" s="117"/>
      <c r="D58" s="61"/>
      <c r="E58" s="61"/>
      <c r="F58" s="301"/>
      <c r="G58" s="301"/>
      <c r="H58" s="296"/>
      <c r="I58" s="296"/>
      <c r="J58" s="296"/>
      <c r="K58" s="301">
        <v>238953036.58323902</v>
      </c>
      <c r="L58" s="301">
        <v>0</v>
      </c>
      <c r="M58" s="301">
        <f>SUM(M59:M63)</f>
        <v>238953036.58323902</v>
      </c>
      <c r="N58" s="58"/>
      <c r="O58" s="61"/>
      <c r="P58" s="61"/>
      <c r="Q58" s="67"/>
      <c r="R58" s="67"/>
      <c r="S58" s="67"/>
      <c r="T58" s="67"/>
      <c r="U58" s="67"/>
      <c r="V58" s="67"/>
      <c r="W58" s="60">
        <f>SUM(W59:W63)</f>
        <v>296401112.4332875</v>
      </c>
      <c r="X58" s="60">
        <f>SUM(X59:X63)</f>
        <v>0</v>
      </c>
      <c r="Y58" s="60">
        <f>SUM(Y59:Y63)</f>
        <v>296401112.4332875</v>
      </c>
      <c r="Z58" s="107" t="s">
        <v>734</v>
      </c>
      <c r="AB58" s="307">
        <f t="shared" si="0"/>
        <v>-57448075.850048482</v>
      </c>
    </row>
    <row r="59" spans="1:28" s="306" customFormat="1" ht="38.25" x14ac:dyDescent="0.25">
      <c r="A59" s="335" t="s">
        <v>131</v>
      </c>
      <c r="B59" s="67" t="s">
        <v>191</v>
      </c>
      <c r="C59" s="67" t="s">
        <v>151</v>
      </c>
      <c r="D59" s="61">
        <v>10</v>
      </c>
      <c r="E59" s="61"/>
      <c r="F59" s="68">
        <v>757530</v>
      </c>
      <c r="G59" s="68"/>
      <c r="H59" s="294">
        <v>0.93744680000000002</v>
      </c>
      <c r="I59" s="294">
        <v>1.0523809523809524</v>
      </c>
      <c r="J59" s="294">
        <v>1.06</v>
      </c>
      <c r="K59" s="68">
        <v>7921826.2318990985</v>
      </c>
      <c r="L59" s="68">
        <v>0</v>
      </c>
      <c r="M59" s="68">
        <v>7921826.2318990985</v>
      </c>
      <c r="N59" s="58" t="s">
        <v>151</v>
      </c>
      <c r="O59" s="61">
        <v>10</v>
      </c>
      <c r="P59" s="61"/>
      <c r="Q59" s="68">
        <f>'Bảng lương'!I17+2*'Bảng lương'!I10</f>
        <v>984789</v>
      </c>
      <c r="R59" s="67"/>
      <c r="S59" s="332">
        <f t="shared" ref="S59:U74" si="10">S$10</f>
        <v>0.93735480000000004</v>
      </c>
      <c r="T59" s="332">
        <f t="shared" si="10"/>
        <v>1.0138088814763606</v>
      </c>
      <c r="U59" s="61">
        <f t="shared" si="10"/>
        <v>1.05</v>
      </c>
      <c r="V59" s="61"/>
      <c r="W59" s="333">
        <f>O59*Q59*S59*T59*U59</f>
        <v>9826358.1045564786</v>
      </c>
      <c r="X59" s="333">
        <f>P59*R59</f>
        <v>0</v>
      </c>
      <c r="Y59" s="334">
        <f t="shared" si="1"/>
        <v>9826358.1045564786</v>
      </c>
      <c r="Z59" s="107" t="s">
        <v>735</v>
      </c>
      <c r="AB59" s="307">
        <f t="shared" si="0"/>
        <v>-1904531.8726573801</v>
      </c>
    </row>
    <row r="60" spans="1:28" s="306" customFormat="1" ht="38.25" x14ac:dyDescent="0.25">
      <c r="A60" s="335" t="s">
        <v>131</v>
      </c>
      <c r="B60" s="67" t="s">
        <v>192</v>
      </c>
      <c r="C60" s="67" t="s">
        <v>151</v>
      </c>
      <c r="D60" s="61">
        <v>150</v>
      </c>
      <c r="E60" s="61"/>
      <c r="F60" s="68">
        <v>757530</v>
      </c>
      <c r="G60" s="68"/>
      <c r="H60" s="294">
        <v>0.93744680000000002</v>
      </c>
      <c r="I60" s="294">
        <v>1.0523809523809524</v>
      </c>
      <c r="J60" s="294">
        <v>1.06</v>
      </c>
      <c r="K60" s="68">
        <v>118827393.47848646</v>
      </c>
      <c r="L60" s="68">
        <v>0</v>
      </c>
      <c r="M60" s="68">
        <v>118827393.47848646</v>
      </c>
      <c r="N60" s="58" t="s">
        <v>151</v>
      </c>
      <c r="O60" s="61">
        <v>150</v>
      </c>
      <c r="P60" s="61"/>
      <c r="Q60" s="68">
        <f>$Q$59</f>
        <v>984789</v>
      </c>
      <c r="R60" s="67"/>
      <c r="S60" s="332">
        <f t="shared" si="10"/>
        <v>0.93735480000000004</v>
      </c>
      <c r="T60" s="332">
        <f t="shared" si="10"/>
        <v>1.0138088814763606</v>
      </c>
      <c r="U60" s="61">
        <f t="shared" si="10"/>
        <v>1.05</v>
      </c>
      <c r="V60" s="61"/>
      <c r="W60" s="333">
        <f>O60*Q60*S60*T60*U60</f>
        <v>147395371.56834716</v>
      </c>
      <c r="X60" s="333">
        <f>P60*R60</f>
        <v>0</v>
      </c>
      <c r="Y60" s="334">
        <f t="shared" si="1"/>
        <v>147395371.56834716</v>
      </c>
      <c r="Z60" s="107" t="s">
        <v>736</v>
      </c>
      <c r="AB60" s="307">
        <f t="shared" si="0"/>
        <v>-28567978.089860693</v>
      </c>
    </row>
    <row r="61" spans="1:28" s="306" customFormat="1" ht="38.25" x14ac:dyDescent="0.25">
      <c r="A61" s="335" t="s">
        <v>131</v>
      </c>
      <c r="B61" s="67" t="s">
        <v>193</v>
      </c>
      <c r="C61" s="67" t="s">
        <v>151</v>
      </c>
      <c r="D61" s="61">
        <v>60</v>
      </c>
      <c r="E61" s="61"/>
      <c r="F61" s="68">
        <v>757530</v>
      </c>
      <c r="G61" s="68"/>
      <c r="H61" s="294">
        <v>0.93744680000000002</v>
      </c>
      <c r="I61" s="294">
        <v>1.0523809523809524</v>
      </c>
      <c r="J61" s="294">
        <v>1.06</v>
      </c>
      <c r="K61" s="68">
        <v>47530957.391394585</v>
      </c>
      <c r="L61" s="68">
        <v>0</v>
      </c>
      <c r="M61" s="68">
        <v>47530957.391394585</v>
      </c>
      <c r="N61" s="58" t="s">
        <v>151</v>
      </c>
      <c r="O61" s="61">
        <v>60</v>
      </c>
      <c r="P61" s="61"/>
      <c r="Q61" s="68">
        <f>$Q$59</f>
        <v>984789</v>
      </c>
      <c r="R61" s="67"/>
      <c r="S61" s="332">
        <f t="shared" si="10"/>
        <v>0.93735480000000004</v>
      </c>
      <c r="T61" s="332">
        <f t="shared" si="10"/>
        <v>1.0138088814763606</v>
      </c>
      <c r="U61" s="61">
        <f t="shared" si="10"/>
        <v>1.05</v>
      </c>
      <c r="V61" s="61"/>
      <c r="W61" s="333">
        <f>O61*Q61*S61*T61*U61</f>
        <v>58958148.627338864</v>
      </c>
      <c r="X61" s="333">
        <f>P61*R61</f>
        <v>0</v>
      </c>
      <c r="Y61" s="334">
        <f t="shared" si="1"/>
        <v>58958148.627338864</v>
      </c>
      <c r="Z61" s="107" t="s">
        <v>737</v>
      </c>
      <c r="AB61" s="307">
        <f t="shared" si="0"/>
        <v>-11427191.235944279</v>
      </c>
    </row>
    <row r="62" spans="1:28" s="306" customFormat="1" ht="38.25" x14ac:dyDescent="0.25">
      <c r="A62" s="335" t="s">
        <v>131</v>
      </c>
      <c r="B62" s="67" t="s">
        <v>657</v>
      </c>
      <c r="C62" s="67" t="s">
        <v>151</v>
      </c>
      <c r="D62" s="61">
        <v>20</v>
      </c>
      <c r="E62" s="61"/>
      <c r="F62" s="68">
        <v>757530</v>
      </c>
      <c r="G62" s="68"/>
      <c r="H62" s="294">
        <v>0.93744680000000002</v>
      </c>
      <c r="I62" s="294">
        <v>1.0523809523809524</v>
      </c>
      <c r="J62" s="294">
        <v>1.06</v>
      </c>
      <c r="K62" s="68">
        <v>15843652.463798197</v>
      </c>
      <c r="L62" s="68">
        <v>0</v>
      </c>
      <c r="M62" s="68">
        <v>15843652.463798197</v>
      </c>
      <c r="N62" s="58" t="s">
        <v>151</v>
      </c>
      <c r="O62" s="61">
        <v>20</v>
      </c>
      <c r="P62" s="61"/>
      <c r="Q62" s="68">
        <f>$Q$59</f>
        <v>984789</v>
      </c>
      <c r="R62" s="67"/>
      <c r="S62" s="332">
        <f t="shared" si="10"/>
        <v>0.93735480000000004</v>
      </c>
      <c r="T62" s="332">
        <f t="shared" si="10"/>
        <v>1.0138088814763606</v>
      </c>
      <c r="U62" s="61">
        <f t="shared" si="10"/>
        <v>1.05</v>
      </c>
      <c r="V62" s="61"/>
      <c r="W62" s="333">
        <f>O62*Q62*S62*T62*U62</f>
        <v>19652716.209112957</v>
      </c>
      <c r="X62" s="333">
        <f>P62*R62</f>
        <v>0</v>
      </c>
      <c r="Y62" s="334">
        <f t="shared" si="1"/>
        <v>19652716.209112957</v>
      </c>
      <c r="Z62" s="107" t="s">
        <v>738</v>
      </c>
      <c r="AB62" s="307">
        <f t="shared" si="0"/>
        <v>-3809063.7453147601</v>
      </c>
    </row>
    <row r="63" spans="1:28" s="306" customFormat="1" ht="38.25" x14ac:dyDescent="0.25">
      <c r="A63" s="335" t="s">
        <v>131</v>
      </c>
      <c r="B63" s="67" t="s">
        <v>194</v>
      </c>
      <c r="C63" s="67" t="s">
        <v>187</v>
      </c>
      <c r="D63" s="61">
        <v>82</v>
      </c>
      <c r="E63" s="61"/>
      <c r="F63" s="68">
        <v>569430</v>
      </c>
      <c r="G63" s="68"/>
      <c r="H63" s="294">
        <v>0.93744680000000002</v>
      </c>
      <c r="I63" s="294">
        <v>1.0523809523809524</v>
      </c>
      <c r="J63" s="294">
        <v>1.06</v>
      </c>
      <c r="K63" s="68">
        <v>48829207.01766067</v>
      </c>
      <c r="L63" s="68">
        <v>0</v>
      </c>
      <c r="M63" s="68">
        <v>48829207.01766067</v>
      </c>
      <c r="N63" s="58" t="s">
        <v>187</v>
      </c>
      <c r="O63" s="61">
        <v>82</v>
      </c>
      <c r="P63" s="61"/>
      <c r="Q63" s="68">
        <f>'Bảng lương'!I10+'Bảng lương'!I12</f>
        <v>740259</v>
      </c>
      <c r="R63" s="67"/>
      <c r="S63" s="332">
        <f t="shared" si="10"/>
        <v>0.93735480000000004</v>
      </c>
      <c r="T63" s="332">
        <f t="shared" si="10"/>
        <v>1.0138088814763606</v>
      </c>
      <c r="U63" s="61">
        <f t="shared" si="10"/>
        <v>1.05</v>
      </c>
      <c r="V63" s="61"/>
      <c r="W63" s="333">
        <f>O63*Q63*S63*T63*U63</f>
        <v>60568517.92393209</v>
      </c>
      <c r="X63" s="333">
        <f>P63*R63</f>
        <v>0</v>
      </c>
      <c r="Y63" s="334">
        <f>W63+X63</f>
        <v>60568517.92393209</v>
      </c>
      <c r="Z63" s="107" t="s">
        <v>739</v>
      </c>
      <c r="AB63" s="307">
        <f t="shared" si="0"/>
        <v>-11739310.90627142</v>
      </c>
    </row>
    <row r="64" spans="1:28" s="306" customFormat="1" ht="63" x14ac:dyDescent="0.25">
      <c r="A64" s="342" t="s">
        <v>146</v>
      </c>
      <c r="B64" s="117" t="s">
        <v>196</v>
      </c>
      <c r="C64" s="117"/>
      <c r="D64" s="70"/>
      <c r="E64" s="61"/>
      <c r="F64" s="301"/>
      <c r="G64" s="301"/>
      <c r="H64" s="296"/>
      <c r="I64" s="296"/>
      <c r="J64" s="296"/>
      <c r="K64" s="301">
        <v>60953356.419980288</v>
      </c>
      <c r="L64" s="301">
        <v>0</v>
      </c>
      <c r="M64" s="301">
        <f>SUM(M65:M67)</f>
        <v>60953356.419980288</v>
      </c>
      <c r="N64" s="58"/>
      <c r="O64" s="70"/>
      <c r="P64" s="61"/>
      <c r="Q64" s="68"/>
      <c r="R64" s="67"/>
      <c r="S64" s="61"/>
      <c r="T64" s="61"/>
      <c r="U64" s="61"/>
      <c r="V64" s="61"/>
      <c r="W64" s="343">
        <f>SUM(W65:W67)</f>
        <v>75607503.916910172</v>
      </c>
      <c r="X64" s="343">
        <f>SUM(X65:X67)</f>
        <v>0</v>
      </c>
      <c r="Y64" s="343">
        <f>SUM(Y65:Y67)</f>
        <v>75607503.916910172</v>
      </c>
      <c r="Z64" s="107" t="s">
        <v>734</v>
      </c>
      <c r="AB64" s="307">
        <f t="shared" si="0"/>
        <v>-14654147.496929884</v>
      </c>
    </row>
    <row r="65" spans="1:28" s="306" customFormat="1" ht="51" x14ac:dyDescent="0.25">
      <c r="A65" s="335" t="s">
        <v>131</v>
      </c>
      <c r="B65" s="118" t="s">
        <v>197</v>
      </c>
      <c r="C65" s="118" t="s">
        <v>151</v>
      </c>
      <c r="D65" s="61">
        <v>20</v>
      </c>
      <c r="E65" s="61"/>
      <c r="F65" s="302">
        <v>757530</v>
      </c>
      <c r="G65" s="302"/>
      <c r="H65" s="297">
        <v>0.93744680000000002</v>
      </c>
      <c r="I65" s="297">
        <v>1.0523809523809524</v>
      </c>
      <c r="J65" s="297">
        <v>1.06</v>
      </c>
      <c r="K65" s="302">
        <v>15843652.463798197</v>
      </c>
      <c r="L65" s="302">
        <v>0</v>
      </c>
      <c r="M65" s="302">
        <v>15843652.463798197</v>
      </c>
      <c r="N65" s="58" t="s">
        <v>151</v>
      </c>
      <c r="O65" s="61">
        <v>20</v>
      </c>
      <c r="P65" s="61"/>
      <c r="Q65" s="68">
        <f>$Q$59</f>
        <v>984789</v>
      </c>
      <c r="R65" s="67"/>
      <c r="S65" s="332">
        <f t="shared" si="10"/>
        <v>0.93735480000000004</v>
      </c>
      <c r="T65" s="332">
        <f t="shared" si="10"/>
        <v>1.0138088814763606</v>
      </c>
      <c r="U65" s="61">
        <f t="shared" si="10"/>
        <v>1.05</v>
      </c>
      <c r="V65" s="61"/>
      <c r="W65" s="333">
        <f t="shared" ref="W65:W104" si="11">O65*Q65*S65*T65*U65</f>
        <v>19652716.209112957</v>
      </c>
      <c r="X65" s="333">
        <f>P65*R65</f>
        <v>0</v>
      </c>
      <c r="Y65" s="334">
        <f>W65+X65</f>
        <v>19652716.209112957</v>
      </c>
      <c r="Z65" s="107" t="s">
        <v>740</v>
      </c>
      <c r="AB65" s="307">
        <f t="shared" si="0"/>
        <v>-3809063.7453147601</v>
      </c>
    </row>
    <row r="66" spans="1:28" s="306" customFormat="1" ht="38.25" x14ac:dyDescent="0.25">
      <c r="A66" s="335" t="s">
        <v>131</v>
      </c>
      <c r="B66" s="118" t="s">
        <v>198</v>
      </c>
      <c r="C66" s="118" t="s">
        <v>151</v>
      </c>
      <c r="D66" s="61">
        <v>22</v>
      </c>
      <c r="E66" s="61"/>
      <c r="F66" s="302">
        <v>757530</v>
      </c>
      <c r="G66" s="302"/>
      <c r="H66" s="297">
        <v>0.93744680000000002</v>
      </c>
      <c r="I66" s="297">
        <v>1.0523809523809524</v>
      </c>
      <c r="J66" s="297">
        <v>1.06</v>
      </c>
      <c r="K66" s="302">
        <v>17428017.710178018</v>
      </c>
      <c r="L66" s="302">
        <v>0</v>
      </c>
      <c r="M66" s="302">
        <v>17428017.710178018</v>
      </c>
      <c r="N66" s="58" t="s">
        <v>151</v>
      </c>
      <c r="O66" s="61">
        <v>22</v>
      </c>
      <c r="P66" s="61"/>
      <c r="Q66" s="68">
        <f>$Q$59</f>
        <v>984789</v>
      </c>
      <c r="R66" s="67"/>
      <c r="S66" s="332">
        <f t="shared" si="10"/>
        <v>0.93735480000000004</v>
      </c>
      <c r="T66" s="332">
        <f t="shared" si="10"/>
        <v>1.0138088814763606</v>
      </c>
      <c r="U66" s="61">
        <f t="shared" si="10"/>
        <v>1.05</v>
      </c>
      <c r="V66" s="61"/>
      <c r="W66" s="333">
        <f t="shared" si="11"/>
        <v>21617987.830024246</v>
      </c>
      <c r="X66" s="333">
        <f>P66*R66</f>
        <v>0</v>
      </c>
      <c r="Y66" s="334">
        <f>W66+X66</f>
        <v>21617987.830024246</v>
      </c>
      <c r="Z66" s="107" t="s">
        <v>741</v>
      </c>
      <c r="AB66" s="307">
        <f t="shared" si="0"/>
        <v>-4189970.1198462285</v>
      </c>
    </row>
    <row r="67" spans="1:28" s="306" customFormat="1" ht="38.25" x14ac:dyDescent="0.25">
      <c r="A67" s="335" t="s">
        <v>131</v>
      </c>
      <c r="B67" s="438" t="s">
        <v>831</v>
      </c>
      <c r="C67" s="118" t="s">
        <v>32</v>
      </c>
      <c r="D67" s="61">
        <v>40</v>
      </c>
      <c r="E67" s="61"/>
      <c r="F67" s="302">
        <v>661770</v>
      </c>
      <c r="G67" s="302"/>
      <c r="H67" s="297">
        <v>0.93744680000000002</v>
      </c>
      <c r="I67" s="297">
        <v>1.0523809523809524</v>
      </c>
      <c r="J67" s="297">
        <v>1.06</v>
      </c>
      <c r="K67" s="302">
        <v>27681686.246004071</v>
      </c>
      <c r="L67" s="302">
        <v>0</v>
      </c>
      <c r="M67" s="302">
        <v>27681686.246004071</v>
      </c>
      <c r="N67" s="58" t="s">
        <v>32</v>
      </c>
      <c r="O67" s="61">
        <v>40</v>
      </c>
      <c r="P67" s="61"/>
      <c r="Q67" s="68">
        <f>'Bảng lương'!I10+'Bảng lương'!I14</f>
        <v>860301</v>
      </c>
      <c r="R67" s="67"/>
      <c r="S67" s="332">
        <f t="shared" si="10"/>
        <v>0.93735480000000004</v>
      </c>
      <c r="T67" s="332">
        <f t="shared" si="10"/>
        <v>1.0138088814763606</v>
      </c>
      <c r="U67" s="61">
        <f t="shared" si="10"/>
        <v>1.05</v>
      </c>
      <c r="V67" s="61"/>
      <c r="W67" s="333">
        <f t="shared" si="11"/>
        <v>34336799.877772972</v>
      </c>
      <c r="X67" s="333">
        <f>P67*R67</f>
        <v>0</v>
      </c>
      <c r="Y67" s="334">
        <f>W67+X67</f>
        <v>34336799.877772972</v>
      </c>
      <c r="Z67" s="107" t="s">
        <v>742</v>
      </c>
      <c r="AB67" s="307">
        <f t="shared" si="0"/>
        <v>-6655113.6317689009</v>
      </c>
    </row>
    <row r="68" spans="1:28" s="306" customFormat="1" ht="63" x14ac:dyDescent="0.25">
      <c r="A68" s="342" t="s">
        <v>147</v>
      </c>
      <c r="B68" s="439" t="s">
        <v>833</v>
      </c>
      <c r="C68" s="117"/>
      <c r="D68" s="70"/>
      <c r="E68" s="61"/>
      <c r="F68" s="301"/>
      <c r="G68" s="301"/>
      <c r="H68" s="296"/>
      <c r="I68" s="296"/>
      <c r="J68" s="296"/>
      <c r="K68" s="301">
        <v>172695811.85540035</v>
      </c>
      <c r="L68" s="301">
        <v>0</v>
      </c>
      <c r="M68" s="301">
        <f>SUM(M69:M70)</f>
        <v>172695811.85540035</v>
      </c>
      <c r="N68" s="58"/>
      <c r="O68" s="70"/>
      <c r="P68" s="61"/>
      <c r="Q68" s="68"/>
      <c r="R68" s="67"/>
      <c r="S68" s="61"/>
      <c r="T68" s="61"/>
      <c r="U68" s="61"/>
      <c r="V68" s="61"/>
      <c r="W68" s="343">
        <f>SUM(W69:W70)</f>
        <v>214214606.67933118</v>
      </c>
      <c r="X68" s="343">
        <f>SUM(X69:X70)</f>
        <v>0</v>
      </c>
      <c r="Y68" s="343">
        <f>SUM(Y69:Y70)</f>
        <v>214214606.67933118</v>
      </c>
      <c r="Z68" s="107" t="s">
        <v>734</v>
      </c>
      <c r="AB68" s="307">
        <f t="shared" si="0"/>
        <v>-41518794.82393083</v>
      </c>
    </row>
    <row r="69" spans="1:28" s="306" customFormat="1" ht="51" x14ac:dyDescent="0.25">
      <c r="A69" s="335" t="s">
        <v>131</v>
      </c>
      <c r="B69" s="118" t="s">
        <v>199</v>
      </c>
      <c r="C69" s="118" t="s">
        <v>151</v>
      </c>
      <c r="D69" s="61">
        <v>198</v>
      </c>
      <c r="E69" s="61"/>
      <c r="F69" s="302">
        <v>757530</v>
      </c>
      <c r="G69" s="302"/>
      <c r="H69" s="297">
        <v>0.93744680000000002</v>
      </c>
      <c r="I69" s="297">
        <v>1.0523809523809524</v>
      </c>
      <c r="J69" s="297">
        <v>1.06</v>
      </c>
      <c r="K69" s="302">
        <v>156852159.39160216</v>
      </c>
      <c r="L69" s="302">
        <v>0</v>
      </c>
      <c r="M69" s="302">
        <v>156852159.39160216</v>
      </c>
      <c r="N69" s="58" t="s">
        <v>151</v>
      </c>
      <c r="O69" s="61">
        <v>198</v>
      </c>
      <c r="P69" s="61"/>
      <c r="Q69" s="68">
        <f>'Bảng lương'!$L$15</f>
        <v>984789</v>
      </c>
      <c r="R69" s="67"/>
      <c r="S69" s="332">
        <f t="shared" si="10"/>
        <v>0.93735480000000004</v>
      </c>
      <c r="T69" s="332">
        <f t="shared" si="10"/>
        <v>1.0138088814763606</v>
      </c>
      <c r="U69" s="61">
        <f t="shared" si="10"/>
        <v>1.05</v>
      </c>
      <c r="V69" s="61"/>
      <c r="W69" s="333">
        <f t="shared" si="11"/>
        <v>194561890.47021824</v>
      </c>
      <c r="X69" s="333">
        <f>P69*R69</f>
        <v>0</v>
      </c>
      <c r="Y69" s="334">
        <f>W69+X69</f>
        <v>194561890.47021824</v>
      </c>
      <c r="Z69" s="107" t="s">
        <v>743</v>
      </c>
      <c r="AB69" s="307">
        <f t="shared" si="0"/>
        <v>-37709731.078616083</v>
      </c>
    </row>
    <row r="70" spans="1:28" s="306" customFormat="1" ht="38.25" x14ac:dyDescent="0.25">
      <c r="A70" s="335" t="s">
        <v>131</v>
      </c>
      <c r="B70" s="118" t="s">
        <v>658</v>
      </c>
      <c r="C70" s="118" t="s">
        <v>151</v>
      </c>
      <c r="D70" s="61">
        <v>20</v>
      </c>
      <c r="E70" s="61"/>
      <c r="F70" s="302">
        <v>757530</v>
      </c>
      <c r="G70" s="302"/>
      <c r="H70" s="297">
        <v>0.93744680000000002</v>
      </c>
      <c r="I70" s="297">
        <v>1.0523809523809524</v>
      </c>
      <c r="J70" s="297">
        <v>1.06</v>
      </c>
      <c r="K70" s="302">
        <v>15843652.463798197</v>
      </c>
      <c r="L70" s="302">
        <v>0</v>
      </c>
      <c r="M70" s="302">
        <v>15843652.463798197</v>
      </c>
      <c r="N70" s="58" t="s">
        <v>151</v>
      </c>
      <c r="O70" s="61">
        <v>20</v>
      </c>
      <c r="P70" s="61"/>
      <c r="Q70" s="68">
        <f>'Bảng lương'!$L$15</f>
        <v>984789</v>
      </c>
      <c r="R70" s="67"/>
      <c r="S70" s="332">
        <f t="shared" si="10"/>
        <v>0.93735480000000004</v>
      </c>
      <c r="T70" s="332">
        <f t="shared" si="10"/>
        <v>1.0138088814763606</v>
      </c>
      <c r="U70" s="61">
        <f t="shared" si="10"/>
        <v>1.05</v>
      </c>
      <c r="V70" s="61"/>
      <c r="W70" s="333">
        <f t="shared" si="11"/>
        <v>19652716.209112957</v>
      </c>
      <c r="X70" s="333">
        <f>P70*R70</f>
        <v>0</v>
      </c>
      <c r="Y70" s="334">
        <f>W70+X70</f>
        <v>19652716.209112957</v>
      </c>
      <c r="Z70" s="107" t="s">
        <v>744</v>
      </c>
      <c r="AB70" s="307">
        <f t="shared" si="0"/>
        <v>-3809063.7453147601</v>
      </c>
    </row>
    <row r="71" spans="1:28" s="306" customFormat="1" ht="63.75" customHeight="1" x14ac:dyDescent="0.25">
      <c r="A71" s="342" t="s">
        <v>148</v>
      </c>
      <c r="B71" s="117" t="s">
        <v>200</v>
      </c>
      <c r="C71" s="117"/>
      <c r="D71" s="70"/>
      <c r="E71" s="61"/>
      <c r="F71" s="301"/>
      <c r="G71" s="301"/>
      <c r="H71" s="296"/>
      <c r="I71" s="296"/>
      <c r="J71" s="296"/>
      <c r="K71" s="301">
        <v>126064330.44473831</v>
      </c>
      <c r="L71" s="301">
        <v>0</v>
      </c>
      <c r="M71" s="301">
        <f>SUM(M72:M76)</f>
        <v>126064330.44473831</v>
      </c>
      <c r="N71" s="58"/>
      <c r="O71" s="70"/>
      <c r="P71" s="61"/>
      <c r="Q71" s="68"/>
      <c r="R71" s="67"/>
      <c r="S71" s="61"/>
      <c r="T71" s="61"/>
      <c r="U71" s="61"/>
      <c r="V71" s="61"/>
      <c r="W71" s="343">
        <f>SUM(W72:W76)</f>
        <v>156372182.23406726</v>
      </c>
      <c r="X71" s="343">
        <f>SUM(X72:X76)</f>
        <v>0</v>
      </c>
      <c r="Y71" s="343">
        <f>SUM(Y72:Y76)</f>
        <v>156372182.23406726</v>
      </c>
      <c r="Z71" s="107" t="s">
        <v>745</v>
      </c>
      <c r="AB71" s="307">
        <f t="shared" si="0"/>
        <v>-30307851.789328948</v>
      </c>
    </row>
    <row r="72" spans="1:28" s="306" customFormat="1" ht="76.5" x14ac:dyDescent="0.25">
      <c r="A72" s="335" t="s">
        <v>131</v>
      </c>
      <c r="B72" s="118" t="s">
        <v>201</v>
      </c>
      <c r="C72" s="118" t="s">
        <v>17</v>
      </c>
      <c r="D72" s="70">
        <v>82</v>
      </c>
      <c r="E72" s="61"/>
      <c r="F72" s="302">
        <v>513000</v>
      </c>
      <c r="G72" s="302"/>
      <c r="H72" s="297">
        <v>0.93744680000000002</v>
      </c>
      <c r="I72" s="297">
        <v>1.0523809523809524</v>
      </c>
      <c r="J72" s="297">
        <v>1.06</v>
      </c>
      <c r="K72" s="302">
        <v>43990276.592487089</v>
      </c>
      <c r="L72" s="302">
        <v>0</v>
      </c>
      <c r="M72" s="302">
        <v>43990276.592487089</v>
      </c>
      <c r="N72" s="58" t="s">
        <v>17</v>
      </c>
      <c r="O72" s="70">
        <v>82</v>
      </c>
      <c r="P72" s="61"/>
      <c r="Q72" s="68">
        <f>2*'Bảng lương'!I10</f>
        <v>666900</v>
      </c>
      <c r="R72" s="67"/>
      <c r="S72" s="332">
        <f t="shared" si="10"/>
        <v>0.93735480000000004</v>
      </c>
      <c r="T72" s="332">
        <f t="shared" si="10"/>
        <v>1.0138088814763606</v>
      </c>
      <c r="U72" s="61">
        <f t="shared" si="10"/>
        <v>1.05</v>
      </c>
      <c r="V72" s="61"/>
      <c r="W72" s="333">
        <f t="shared" si="11"/>
        <v>54566232.363902785</v>
      </c>
      <c r="X72" s="333">
        <f>P72*R72</f>
        <v>0</v>
      </c>
      <c r="Y72" s="334">
        <f>W72+X72</f>
        <v>54566232.363902785</v>
      </c>
      <c r="Z72" s="107" t="s">
        <v>746</v>
      </c>
      <c r="AB72" s="307">
        <f t="shared" ref="AB72:AB104" si="12">M72-Y72</f>
        <v>-10575955.771415696</v>
      </c>
    </row>
    <row r="73" spans="1:28" s="306" customFormat="1" ht="38.25" x14ac:dyDescent="0.25">
      <c r="A73" s="335" t="s">
        <v>131</v>
      </c>
      <c r="B73" s="118" t="s">
        <v>202</v>
      </c>
      <c r="C73" s="118" t="s">
        <v>187</v>
      </c>
      <c r="D73" s="70">
        <v>49</v>
      </c>
      <c r="E73" s="61"/>
      <c r="F73" s="302">
        <v>569430</v>
      </c>
      <c r="G73" s="302"/>
      <c r="H73" s="297">
        <v>0.93744680000000002</v>
      </c>
      <c r="I73" s="297">
        <v>1.0523809523809524</v>
      </c>
      <c r="J73" s="297">
        <v>1.06</v>
      </c>
      <c r="K73" s="302">
        <v>29178428.583724059</v>
      </c>
      <c r="L73" s="302">
        <v>0</v>
      </c>
      <c r="M73" s="302">
        <v>29178428.583724059</v>
      </c>
      <c r="N73" s="58" t="s">
        <v>187</v>
      </c>
      <c r="O73" s="70">
        <v>49</v>
      </c>
      <c r="P73" s="61"/>
      <c r="Q73" s="68">
        <f>'Bảng lương'!I10+'Bảng lương'!I12</f>
        <v>740259</v>
      </c>
      <c r="R73" s="67"/>
      <c r="S73" s="332">
        <f t="shared" si="10"/>
        <v>0.93735480000000004</v>
      </c>
      <c r="T73" s="332">
        <f t="shared" si="10"/>
        <v>1.0138088814763606</v>
      </c>
      <c r="U73" s="61">
        <f t="shared" si="10"/>
        <v>1.05</v>
      </c>
      <c r="V73" s="61"/>
      <c r="W73" s="333">
        <f t="shared" si="11"/>
        <v>36193382.661861859</v>
      </c>
      <c r="X73" s="333">
        <f>P73*R73</f>
        <v>0</v>
      </c>
      <c r="Y73" s="334">
        <f>W73+X73</f>
        <v>36193382.661861859</v>
      </c>
      <c r="Z73" s="107" t="s">
        <v>747</v>
      </c>
      <c r="AB73" s="307">
        <f t="shared" si="12"/>
        <v>-7014954.0781378001</v>
      </c>
    </row>
    <row r="74" spans="1:28" s="306" customFormat="1" ht="51" x14ac:dyDescent="0.25">
      <c r="A74" s="335" t="s">
        <v>131</v>
      </c>
      <c r="B74" s="118" t="s">
        <v>203</v>
      </c>
      <c r="C74" s="118" t="s">
        <v>32</v>
      </c>
      <c r="D74" s="70">
        <v>20</v>
      </c>
      <c r="E74" s="61"/>
      <c r="F74" s="302">
        <v>661770</v>
      </c>
      <c r="G74" s="302"/>
      <c r="H74" s="297">
        <v>0.93744680000000002</v>
      </c>
      <c r="I74" s="297">
        <v>1.0523809523809524</v>
      </c>
      <c r="J74" s="297">
        <v>1.06</v>
      </c>
      <c r="K74" s="302">
        <v>13840843.123002036</v>
      </c>
      <c r="L74" s="302">
        <v>0</v>
      </c>
      <c r="M74" s="302">
        <v>13840843.123002036</v>
      </c>
      <c r="N74" s="58" t="s">
        <v>32</v>
      </c>
      <c r="O74" s="70">
        <v>20</v>
      </c>
      <c r="P74" s="61"/>
      <c r="Q74" s="68">
        <f>'Bảng lương'!I10+'Bảng lương'!I14</f>
        <v>860301</v>
      </c>
      <c r="R74" s="67"/>
      <c r="S74" s="332">
        <f t="shared" si="10"/>
        <v>0.93735480000000004</v>
      </c>
      <c r="T74" s="332">
        <f t="shared" si="10"/>
        <v>1.0138088814763606</v>
      </c>
      <c r="U74" s="61">
        <f t="shared" si="10"/>
        <v>1.05</v>
      </c>
      <c r="V74" s="61"/>
      <c r="W74" s="333">
        <f t="shared" si="11"/>
        <v>17168399.938886486</v>
      </c>
      <c r="X74" s="333">
        <f>P74*R74</f>
        <v>0</v>
      </c>
      <c r="Y74" s="334">
        <f>W74+X74</f>
        <v>17168399.938886486</v>
      </c>
      <c r="Z74" s="107" t="s">
        <v>748</v>
      </c>
      <c r="AB74" s="307">
        <f t="shared" si="12"/>
        <v>-3327556.8158844505</v>
      </c>
    </row>
    <row r="75" spans="1:28" s="306" customFormat="1" ht="38.25" x14ac:dyDescent="0.25">
      <c r="A75" s="335" t="s">
        <v>131</v>
      </c>
      <c r="B75" s="118" t="s">
        <v>659</v>
      </c>
      <c r="C75" s="118" t="s">
        <v>188</v>
      </c>
      <c r="D75" s="70">
        <v>30</v>
      </c>
      <c r="E75" s="61"/>
      <c r="F75" s="302">
        <v>557460</v>
      </c>
      <c r="G75" s="302"/>
      <c r="H75" s="297">
        <v>0.93744680000000002</v>
      </c>
      <c r="I75" s="297">
        <v>1.0523809523809524</v>
      </c>
      <c r="J75" s="297">
        <v>1.06</v>
      </c>
      <c r="K75" s="302">
        <v>17488817.279452186</v>
      </c>
      <c r="L75" s="302">
        <v>0</v>
      </c>
      <c r="M75" s="302">
        <v>17488817.279452186</v>
      </c>
      <c r="N75" s="58" t="s">
        <v>188</v>
      </c>
      <c r="O75" s="70">
        <v>30</v>
      </c>
      <c r="P75" s="61"/>
      <c r="Q75" s="68">
        <f>'Bảng lương'!I17+'Bảng lương'!I12</f>
        <v>724698</v>
      </c>
      <c r="R75" s="67"/>
      <c r="S75" s="332">
        <f t="shared" ref="S75:U76" si="13">S$10</f>
        <v>0.93735480000000004</v>
      </c>
      <c r="T75" s="332">
        <f t="shared" si="13"/>
        <v>1.0138088814763606</v>
      </c>
      <c r="U75" s="61">
        <f t="shared" si="13"/>
        <v>1.05</v>
      </c>
      <c r="V75" s="61"/>
      <c r="W75" s="333">
        <f t="shared" si="11"/>
        <v>21693404.573941834</v>
      </c>
      <c r="X75" s="333">
        <f>P75*R75</f>
        <v>0</v>
      </c>
      <c r="Y75" s="334">
        <f>W75+X75</f>
        <v>21693404.573941834</v>
      </c>
      <c r="Z75" s="107" t="s">
        <v>749</v>
      </c>
      <c r="AB75" s="307">
        <f t="shared" si="12"/>
        <v>-4204587.2944896482</v>
      </c>
    </row>
    <row r="76" spans="1:28" s="306" customFormat="1" ht="51" x14ac:dyDescent="0.25">
      <c r="A76" s="335" t="s">
        <v>131</v>
      </c>
      <c r="B76" s="118" t="s">
        <v>660</v>
      </c>
      <c r="C76" s="118" t="s">
        <v>36</v>
      </c>
      <c r="D76" s="70">
        <v>20</v>
      </c>
      <c r="E76" s="61"/>
      <c r="F76" s="302">
        <v>1031130</v>
      </c>
      <c r="G76" s="302"/>
      <c r="H76" s="297">
        <v>0.93744680000000002</v>
      </c>
      <c r="I76" s="297">
        <v>1.0523809523809524</v>
      </c>
      <c r="J76" s="297">
        <v>1.06</v>
      </c>
      <c r="K76" s="302">
        <v>21565964.866072938</v>
      </c>
      <c r="L76" s="302">
        <v>0</v>
      </c>
      <c r="M76" s="302">
        <v>21565964.866072938</v>
      </c>
      <c r="N76" s="58" t="s">
        <v>36</v>
      </c>
      <c r="O76" s="70">
        <v>20</v>
      </c>
      <c r="P76" s="61"/>
      <c r="Q76" s="68">
        <f>'Bảng lương'!L19</f>
        <v>1340469</v>
      </c>
      <c r="R76" s="67"/>
      <c r="S76" s="332">
        <f t="shared" si="13"/>
        <v>0.93735480000000004</v>
      </c>
      <c r="T76" s="332">
        <f t="shared" si="13"/>
        <v>1.0138088814763606</v>
      </c>
      <c r="U76" s="61">
        <f t="shared" si="13"/>
        <v>1.05</v>
      </c>
      <c r="V76" s="61"/>
      <c r="W76" s="333">
        <f t="shared" si="11"/>
        <v>26750762.695474293</v>
      </c>
      <c r="X76" s="333">
        <f>P76*R76</f>
        <v>0</v>
      </c>
      <c r="Y76" s="334">
        <f>W76+X76</f>
        <v>26750762.695474293</v>
      </c>
      <c r="Z76" s="107" t="s">
        <v>750</v>
      </c>
      <c r="AB76" s="307">
        <f t="shared" si="12"/>
        <v>-5184797.8294013552</v>
      </c>
    </row>
    <row r="77" spans="1:28" s="306" customFormat="1" ht="63" x14ac:dyDescent="0.25">
      <c r="A77" s="62" t="s">
        <v>368</v>
      </c>
      <c r="B77" s="63" t="s">
        <v>545</v>
      </c>
      <c r="C77" s="63"/>
      <c r="D77" s="61"/>
      <c r="E77" s="61"/>
      <c r="F77" s="64"/>
      <c r="G77" s="64"/>
      <c r="H77" s="295"/>
      <c r="I77" s="295"/>
      <c r="J77" s="295"/>
      <c r="K77" s="64">
        <v>257783020.83197436</v>
      </c>
      <c r="L77" s="64">
        <v>0</v>
      </c>
      <c r="M77" s="64">
        <f>SUM(M78:M84)</f>
        <v>257783020.83197436</v>
      </c>
      <c r="N77" s="58"/>
      <c r="O77" s="61"/>
      <c r="P77" s="61"/>
      <c r="Q77" s="68"/>
      <c r="R77" s="67"/>
      <c r="S77" s="67"/>
      <c r="T77" s="67"/>
      <c r="U77" s="67"/>
      <c r="V77" s="67"/>
      <c r="W77" s="64">
        <f>W78+W79+W80+W82+W83+W84</f>
        <v>319758121.65247035</v>
      </c>
      <c r="X77" s="64">
        <f>X78+X79+X80+X82</f>
        <v>0</v>
      </c>
      <c r="Y77" s="64">
        <f>Y78+Y79+Y80+Y82+Y83+Y84</f>
        <v>319758121.65247035</v>
      </c>
      <c r="Z77" s="107" t="s">
        <v>751</v>
      </c>
      <c r="AB77" s="307">
        <f t="shared" si="12"/>
        <v>-61975100.820495993</v>
      </c>
    </row>
    <row r="78" spans="1:28" s="306" customFormat="1" ht="38.25" x14ac:dyDescent="0.25">
      <c r="A78" s="58" t="s">
        <v>145</v>
      </c>
      <c r="B78" s="118" t="s">
        <v>662</v>
      </c>
      <c r="C78" s="118" t="s">
        <v>33</v>
      </c>
      <c r="D78" s="61">
        <v>23</v>
      </c>
      <c r="E78" s="61"/>
      <c r="F78" s="302">
        <v>625860</v>
      </c>
      <c r="G78" s="302"/>
      <c r="H78" s="297">
        <v>0.93744680000000002</v>
      </c>
      <c r="I78" s="297">
        <v>1.0523809523809524</v>
      </c>
      <c r="J78" s="297">
        <v>1.06</v>
      </c>
      <c r="K78" s="302">
        <v>15053258.063233998</v>
      </c>
      <c r="L78" s="302">
        <v>0</v>
      </c>
      <c r="M78" s="302">
        <v>15053258.063233998</v>
      </c>
      <c r="N78" s="58" t="s">
        <v>33</v>
      </c>
      <c r="O78" s="61">
        <v>23</v>
      </c>
      <c r="P78" s="61"/>
      <c r="Q78" s="68">
        <f>'Bảng lương'!I13+'Bảng lương'!I11</f>
        <v>813618</v>
      </c>
      <c r="R78" s="67"/>
      <c r="S78" s="332">
        <f t="shared" ref="S78:U84" si="14">S$10</f>
        <v>0.93735480000000004</v>
      </c>
      <c r="T78" s="332">
        <f t="shared" si="14"/>
        <v>1.0138088814763606</v>
      </c>
      <c r="U78" s="61">
        <f t="shared" si="14"/>
        <v>1.05</v>
      </c>
      <c r="V78" s="61"/>
      <c r="W78" s="333">
        <f t="shared" si="11"/>
        <v>18672298.538184293</v>
      </c>
      <c r="X78" s="334">
        <f t="shared" ref="X78:X84" si="15">P78*R78</f>
        <v>0</v>
      </c>
      <c r="Y78" s="334">
        <f t="shared" si="1"/>
        <v>18672298.538184293</v>
      </c>
      <c r="Z78" s="107" t="s">
        <v>752</v>
      </c>
      <c r="AB78" s="307">
        <f t="shared" si="12"/>
        <v>-3619040.4749502949</v>
      </c>
    </row>
    <row r="79" spans="1:28" s="306" customFormat="1" ht="38.25" x14ac:dyDescent="0.25">
      <c r="A79" s="58" t="s">
        <v>146</v>
      </c>
      <c r="B79" s="118" t="s">
        <v>663</v>
      </c>
      <c r="C79" s="118" t="s">
        <v>33</v>
      </c>
      <c r="D79" s="61">
        <v>34</v>
      </c>
      <c r="E79" s="61"/>
      <c r="F79" s="302">
        <v>625860</v>
      </c>
      <c r="G79" s="302"/>
      <c r="H79" s="297">
        <v>0.93744680000000002</v>
      </c>
      <c r="I79" s="297">
        <v>1.0523809523809524</v>
      </c>
      <c r="J79" s="297">
        <v>1.06</v>
      </c>
      <c r="K79" s="302">
        <v>22252642.35434591</v>
      </c>
      <c r="L79" s="302">
        <v>0</v>
      </c>
      <c r="M79" s="302">
        <v>22252642.35434591</v>
      </c>
      <c r="N79" s="58" t="s">
        <v>33</v>
      </c>
      <c r="O79" s="61">
        <v>34</v>
      </c>
      <c r="P79" s="61"/>
      <c r="Q79" s="68">
        <f>Q78</f>
        <v>813618</v>
      </c>
      <c r="R79" s="67"/>
      <c r="S79" s="332">
        <f t="shared" si="14"/>
        <v>0.93735480000000004</v>
      </c>
      <c r="T79" s="332">
        <f t="shared" si="14"/>
        <v>1.0138088814763606</v>
      </c>
      <c r="U79" s="61">
        <f t="shared" si="14"/>
        <v>1.05</v>
      </c>
      <c r="V79" s="61"/>
      <c r="W79" s="333">
        <f t="shared" si="11"/>
        <v>27602528.273837652</v>
      </c>
      <c r="X79" s="334">
        <f t="shared" si="15"/>
        <v>0</v>
      </c>
      <c r="Y79" s="334">
        <f t="shared" si="1"/>
        <v>27602528.273837652</v>
      </c>
      <c r="Z79" s="107" t="s">
        <v>753</v>
      </c>
      <c r="AB79" s="307">
        <f t="shared" si="12"/>
        <v>-5349885.9194917418</v>
      </c>
    </row>
    <row r="80" spans="1:28" s="306" customFormat="1" ht="38.25" x14ac:dyDescent="0.25">
      <c r="A80" s="58" t="s">
        <v>147</v>
      </c>
      <c r="B80" s="118" t="s">
        <v>664</v>
      </c>
      <c r="C80" s="118" t="s">
        <v>33</v>
      </c>
      <c r="D80" s="61">
        <v>34</v>
      </c>
      <c r="E80" s="61"/>
      <c r="F80" s="302">
        <v>625860</v>
      </c>
      <c r="G80" s="302"/>
      <c r="H80" s="297">
        <v>0.93744680000000002</v>
      </c>
      <c r="I80" s="297">
        <v>1.0523809523809524</v>
      </c>
      <c r="J80" s="297">
        <v>1.06</v>
      </c>
      <c r="K80" s="302">
        <v>22252642.35434591</v>
      </c>
      <c r="L80" s="302">
        <v>0</v>
      </c>
      <c r="M80" s="302">
        <v>22252642.35434591</v>
      </c>
      <c r="N80" s="58" t="s">
        <v>33</v>
      </c>
      <c r="O80" s="61">
        <v>34</v>
      </c>
      <c r="P80" s="61"/>
      <c r="Q80" s="68">
        <f>Q79</f>
        <v>813618</v>
      </c>
      <c r="R80" s="67"/>
      <c r="S80" s="332">
        <f t="shared" si="14"/>
        <v>0.93735480000000004</v>
      </c>
      <c r="T80" s="332">
        <f t="shared" si="14"/>
        <v>1.0138088814763606</v>
      </c>
      <c r="U80" s="61">
        <f t="shared" si="14"/>
        <v>1.05</v>
      </c>
      <c r="V80" s="61"/>
      <c r="W80" s="333">
        <f t="shared" si="11"/>
        <v>27602528.273837652</v>
      </c>
      <c r="X80" s="334">
        <f t="shared" si="15"/>
        <v>0</v>
      </c>
      <c r="Y80" s="334">
        <f t="shared" si="1"/>
        <v>27602528.273837652</v>
      </c>
      <c r="Z80" s="107" t="s">
        <v>754</v>
      </c>
      <c r="AB80" s="307">
        <f t="shared" si="12"/>
        <v>-5349885.9194917418</v>
      </c>
    </row>
    <row r="81" spans="1:28" s="306" customFormat="1" x14ac:dyDescent="0.25">
      <c r="A81" s="58" t="s">
        <v>148</v>
      </c>
      <c r="B81" s="118" t="s">
        <v>665</v>
      </c>
      <c r="C81" s="118"/>
      <c r="D81" s="61"/>
      <c r="E81" s="61"/>
      <c r="F81" s="302"/>
      <c r="G81" s="302"/>
      <c r="H81" s="297"/>
      <c r="I81" s="297"/>
      <c r="J81" s="297"/>
      <c r="K81" s="302"/>
      <c r="L81" s="302"/>
      <c r="M81" s="302"/>
      <c r="N81" s="58"/>
      <c r="O81" s="61"/>
      <c r="P81" s="61"/>
      <c r="Q81" s="68"/>
      <c r="R81" s="67"/>
      <c r="S81" s="332"/>
      <c r="T81" s="332"/>
      <c r="U81" s="61"/>
      <c r="V81" s="61"/>
      <c r="W81" s="333"/>
      <c r="X81" s="334"/>
      <c r="Y81" s="334"/>
      <c r="Z81" s="107"/>
      <c r="AB81" s="307">
        <f t="shared" si="12"/>
        <v>0</v>
      </c>
    </row>
    <row r="82" spans="1:28" s="306" customFormat="1" ht="38.25" x14ac:dyDescent="0.25">
      <c r="A82" s="335" t="s">
        <v>131</v>
      </c>
      <c r="B82" s="118" t="s">
        <v>666</v>
      </c>
      <c r="C82" s="118" t="s">
        <v>34</v>
      </c>
      <c r="D82" s="61">
        <v>35</v>
      </c>
      <c r="E82" s="61"/>
      <c r="F82" s="302">
        <v>1251720</v>
      </c>
      <c r="G82" s="302"/>
      <c r="H82" s="297">
        <v>0.93744680000000002</v>
      </c>
      <c r="I82" s="297">
        <v>1.0523809523809524</v>
      </c>
      <c r="J82" s="297">
        <v>1.06</v>
      </c>
      <c r="K82" s="302">
        <v>45814263.670712166</v>
      </c>
      <c r="L82" s="302">
        <v>0</v>
      </c>
      <c r="M82" s="302">
        <v>45814263.670712166</v>
      </c>
      <c r="N82" s="58" t="s">
        <v>34</v>
      </c>
      <c r="O82" s="61">
        <v>35</v>
      </c>
      <c r="P82" s="61"/>
      <c r="Q82" s="68">
        <f>Q80*2</f>
        <v>1627236</v>
      </c>
      <c r="R82" s="67"/>
      <c r="S82" s="332">
        <f t="shared" si="14"/>
        <v>0.93735480000000004</v>
      </c>
      <c r="T82" s="332">
        <f t="shared" si="14"/>
        <v>1.0138088814763606</v>
      </c>
      <c r="U82" s="61">
        <f t="shared" si="14"/>
        <v>1.05</v>
      </c>
      <c r="V82" s="61"/>
      <c r="W82" s="333">
        <f t="shared" si="11"/>
        <v>56828734.681430452</v>
      </c>
      <c r="X82" s="333">
        <f t="shared" si="15"/>
        <v>0</v>
      </c>
      <c r="Y82" s="334">
        <f t="shared" si="1"/>
        <v>56828734.681430452</v>
      </c>
      <c r="Z82" s="107" t="s">
        <v>755</v>
      </c>
      <c r="AB82" s="307">
        <f t="shared" si="12"/>
        <v>-11014471.010718286</v>
      </c>
    </row>
    <row r="83" spans="1:28" s="306" customFormat="1" ht="38.25" x14ac:dyDescent="0.25">
      <c r="A83" s="335" t="s">
        <v>131</v>
      </c>
      <c r="B83" s="118" t="s">
        <v>667</v>
      </c>
      <c r="C83" s="118" t="s">
        <v>151</v>
      </c>
      <c r="D83" s="61">
        <v>180</v>
      </c>
      <c r="E83" s="61"/>
      <c r="F83" s="302">
        <v>757530</v>
      </c>
      <c r="G83" s="302"/>
      <c r="H83" s="297">
        <v>0.93744680000000002</v>
      </c>
      <c r="I83" s="297">
        <v>1.0523809523809524</v>
      </c>
      <c r="J83" s="297">
        <v>1.06</v>
      </c>
      <c r="K83" s="302">
        <v>142592872.17418376</v>
      </c>
      <c r="L83" s="302">
        <v>0</v>
      </c>
      <c r="M83" s="302">
        <v>142592872.17418376</v>
      </c>
      <c r="N83" s="58" t="s">
        <v>151</v>
      </c>
      <c r="O83" s="61">
        <v>180</v>
      </c>
      <c r="P83" s="61"/>
      <c r="Q83" s="68">
        <f>Q69</f>
        <v>984789</v>
      </c>
      <c r="R83" s="67"/>
      <c r="S83" s="332">
        <f t="shared" si="14"/>
        <v>0.93735480000000004</v>
      </c>
      <c r="T83" s="332">
        <f t="shared" si="14"/>
        <v>1.0138088814763606</v>
      </c>
      <c r="U83" s="61">
        <f t="shared" si="14"/>
        <v>1.05</v>
      </c>
      <c r="V83" s="61"/>
      <c r="W83" s="333">
        <f t="shared" si="11"/>
        <v>176874445.88201657</v>
      </c>
      <c r="X83" s="333">
        <f t="shared" si="15"/>
        <v>0</v>
      </c>
      <c r="Y83" s="334">
        <f>W83+X83</f>
        <v>176874445.88201657</v>
      </c>
      <c r="Z83" s="107" t="s">
        <v>756</v>
      </c>
      <c r="AB83" s="307">
        <f t="shared" si="12"/>
        <v>-34281573.707832813</v>
      </c>
    </row>
    <row r="84" spans="1:28" s="306" customFormat="1" ht="38.25" x14ac:dyDescent="0.25">
      <c r="A84" s="335" t="s">
        <v>131</v>
      </c>
      <c r="B84" s="118" t="s">
        <v>668</v>
      </c>
      <c r="C84" s="118" t="s">
        <v>33</v>
      </c>
      <c r="D84" s="61">
        <v>15</v>
      </c>
      <c r="E84" s="61"/>
      <c r="F84" s="302">
        <v>625860</v>
      </c>
      <c r="G84" s="302"/>
      <c r="H84" s="297">
        <v>0.93744680000000002</v>
      </c>
      <c r="I84" s="297">
        <v>1.0523809523809524</v>
      </c>
      <c r="J84" s="297">
        <v>1.06</v>
      </c>
      <c r="K84" s="302">
        <v>9817342.2151526082</v>
      </c>
      <c r="L84" s="302">
        <v>0</v>
      </c>
      <c r="M84" s="302">
        <v>9817342.2151526082</v>
      </c>
      <c r="N84" s="58" t="s">
        <v>33</v>
      </c>
      <c r="O84" s="61">
        <v>15</v>
      </c>
      <c r="P84" s="61"/>
      <c r="Q84" s="68">
        <f>Q80</f>
        <v>813618</v>
      </c>
      <c r="R84" s="67"/>
      <c r="S84" s="332">
        <f t="shared" si="14"/>
        <v>0.93735480000000004</v>
      </c>
      <c r="T84" s="332">
        <f t="shared" si="14"/>
        <v>1.0138088814763606</v>
      </c>
      <c r="U84" s="61">
        <f t="shared" si="14"/>
        <v>1.05</v>
      </c>
      <c r="V84" s="61"/>
      <c r="W84" s="333">
        <f t="shared" si="11"/>
        <v>12177586.003163669</v>
      </c>
      <c r="X84" s="333">
        <f t="shared" si="15"/>
        <v>0</v>
      </c>
      <c r="Y84" s="334">
        <f>W84+X84</f>
        <v>12177586.003163669</v>
      </c>
      <c r="Z84" s="107" t="s">
        <v>757</v>
      </c>
      <c r="AB84" s="307">
        <f t="shared" si="12"/>
        <v>-2360243.788011061</v>
      </c>
    </row>
    <row r="85" spans="1:28" s="306" customFormat="1" ht="40.5" x14ac:dyDescent="0.25">
      <c r="A85" s="62" t="s">
        <v>370</v>
      </c>
      <c r="B85" s="63" t="s">
        <v>661</v>
      </c>
      <c r="C85" s="63"/>
      <c r="D85" s="358"/>
      <c r="E85" s="358"/>
      <c r="F85" s="64"/>
      <c r="G85" s="64"/>
      <c r="H85" s="295"/>
      <c r="I85" s="295"/>
      <c r="J85" s="295"/>
      <c r="K85" s="64">
        <v>175072359.72497007</v>
      </c>
      <c r="L85" s="64">
        <v>0</v>
      </c>
      <c r="M85" s="64">
        <f>SUM(M86:M87)</f>
        <v>175072359.72497007</v>
      </c>
      <c r="N85" s="62"/>
      <c r="O85" s="358"/>
      <c r="P85" s="358"/>
      <c r="Q85" s="63"/>
      <c r="R85" s="63"/>
      <c r="S85" s="63"/>
      <c r="T85" s="63"/>
      <c r="U85" s="63"/>
      <c r="V85" s="63"/>
      <c r="W85" s="64">
        <f>W86+W87</f>
        <v>94599244.102145359</v>
      </c>
      <c r="X85" s="64">
        <f>X86+X87</f>
        <v>0</v>
      </c>
      <c r="Y85" s="64">
        <f>Y86+Y87</f>
        <v>94599244.102145359</v>
      </c>
      <c r="Z85" s="107"/>
      <c r="AB85" s="307">
        <f t="shared" si="12"/>
        <v>80473115.622824714</v>
      </c>
    </row>
    <row r="86" spans="1:28" s="306" customFormat="1" ht="38.25" hidden="1" x14ac:dyDescent="0.25">
      <c r="A86" s="335" t="s">
        <v>131</v>
      </c>
      <c r="B86" s="67" t="s">
        <v>610</v>
      </c>
      <c r="C86" s="67" t="s">
        <v>151</v>
      </c>
      <c r="D86" s="61">
        <f>12*17*50%</f>
        <v>102</v>
      </c>
      <c r="E86" s="69"/>
      <c r="F86" s="68">
        <v>757530</v>
      </c>
      <c r="G86" s="68"/>
      <c r="H86" s="294">
        <v>0.93744680000000002</v>
      </c>
      <c r="I86" s="294">
        <v>1.0523809523809524</v>
      </c>
      <c r="J86" s="294">
        <v>1.06</v>
      </c>
      <c r="K86" s="68">
        <v>80802627.565370813</v>
      </c>
      <c r="L86" s="68">
        <v>0</v>
      </c>
      <c r="M86" s="68">
        <v>80802627.565370813</v>
      </c>
      <c r="N86" s="58" t="s">
        <v>151</v>
      </c>
      <c r="O86" s="61"/>
      <c r="P86" s="69"/>
      <c r="Q86" s="68">
        <f>'Bảng lương'!J17+2*'Bảng lương'!J10</f>
        <v>984789</v>
      </c>
      <c r="R86" s="67"/>
      <c r="S86" s="332">
        <v>0.9</v>
      </c>
      <c r="T86" s="332">
        <f>T$10</f>
        <v>1.0138088814763606</v>
      </c>
      <c r="U86" s="61">
        <v>0.94</v>
      </c>
      <c r="V86" s="61"/>
      <c r="W86" s="333">
        <f>$O86*$Q86*S86*T86*U86</f>
        <v>0</v>
      </c>
      <c r="X86" s="333">
        <f>P86*R86</f>
        <v>0</v>
      </c>
      <c r="Y86" s="334">
        <f>W86+X86</f>
        <v>0</v>
      </c>
      <c r="Z86" s="107" t="s">
        <v>103</v>
      </c>
      <c r="AB86" s="307">
        <f t="shared" si="12"/>
        <v>80802627.565370813</v>
      </c>
    </row>
    <row r="87" spans="1:28" s="306" customFormat="1" ht="63" x14ac:dyDescent="0.25">
      <c r="A87" s="335" t="s">
        <v>131</v>
      </c>
      <c r="B87" s="454" t="s">
        <v>852</v>
      </c>
      <c r="C87" s="67" t="s">
        <v>151</v>
      </c>
      <c r="D87" s="61">
        <f>14*17*50%</f>
        <v>119</v>
      </c>
      <c r="E87" s="69"/>
      <c r="F87" s="68">
        <v>757530</v>
      </c>
      <c r="G87" s="68"/>
      <c r="H87" s="294">
        <v>0.93744680000000002</v>
      </c>
      <c r="I87" s="294">
        <v>1.0523809523809524</v>
      </c>
      <c r="J87" s="294">
        <v>1.06</v>
      </c>
      <c r="K87" s="68">
        <v>94269732.159599259</v>
      </c>
      <c r="L87" s="68">
        <v>0</v>
      </c>
      <c r="M87" s="68">
        <v>94269732.159599259</v>
      </c>
      <c r="N87" s="58" t="s">
        <v>151</v>
      </c>
      <c r="O87" s="61">
        <f>14*16*0.5</f>
        <v>112</v>
      </c>
      <c r="P87" s="69"/>
      <c r="Q87" s="68">
        <f>Q86</f>
        <v>984789</v>
      </c>
      <c r="R87" s="67"/>
      <c r="S87" s="332">
        <v>0.9</v>
      </c>
      <c r="T87" s="332">
        <f>T$10</f>
        <v>1.0138088814763606</v>
      </c>
      <c r="U87" s="61">
        <v>0.94</v>
      </c>
      <c r="V87" s="61"/>
      <c r="W87" s="333">
        <f>$O87*$Q87*S87*T87*U87</f>
        <v>94599244.102145359</v>
      </c>
      <c r="X87" s="333">
        <f>P87*R87</f>
        <v>0</v>
      </c>
      <c r="Y87" s="334">
        <f>W87+X87</f>
        <v>94599244.102145359</v>
      </c>
      <c r="Z87" s="107" t="s">
        <v>758</v>
      </c>
      <c r="AB87" s="307">
        <f t="shared" si="12"/>
        <v>-329511.94254609942</v>
      </c>
    </row>
    <row r="88" spans="1:28" s="306" customFormat="1" ht="67.5" x14ac:dyDescent="0.25">
      <c r="A88" s="228" t="s">
        <v>372</v>
      </c>
      <c r="B88" s="440" t="s">
        <v>832</v>
      </c>
      <c r="C88" s="291"/>
      <c r="D88" s="229"/>
      <c r="E88" s="61"/>
      <c r="F88" s="303"/>
      <c r="G88" s="303"/>
      <c r="H88" s="298"/>
      <c r="I88" s="298"/>
      <c r="J88" s="298"/>
      <c r="K88" s="303">
        <v>296276301.07302624</v>
      </c>
      <c r="L88" s="303"/>
      <c r="M88" s="303">
        <f>SUM(M89:M94)</f>
        <v>296276301.07302624</v>
      </c>
      <c r="N88" s="349"/>
      <c r="O88" s="229"/>
      <c r="P88" s="61"/>
      <c r="Q88" s="68"/>
      <c r="R88" s="67"/>
      <c r="S88" s="61"/>
      <c r="T88" s="61"/>
      <c r="U88" s="61"/>
      <c r="V88" s="61"/>
      <c r="W88" s="350">
        <f>W89+W90+W91+W92+W93+W94</f>
        <v>353748891.7640332</v>
      </c>
      <c r="X88" s="333"/>
      <c r="Y88" s="350">
        <f>Y89+Y90+Y91+Y92+Y93+Y94</f>
        <v>353748891.7640332</v>
      </c>
      <c r="Z88" s="107" t="s">
        <v>722</v>
      </c>
      <c r="AB88" s="307">
        <f t="shared" si="12"/>
        <v>-57472590.691006958</v>
      </c>
    </row>
    <row r="89" spans="1:28" s="306" customFormat="1" ht="38.25" x14ac:dyDescent="0.25">
      <c r="A89" s="336" t="s">
        <v>131</v>
      </c>
      <c r="B89" s="118" t="s">
        <v>766</v>
      </c>
      <c r="C89" s="118" t="s">
        <v>151</v>
      </c>
      <c r="D89" s="61">
        <v>4</v>
      </c>
      <c r="E89" s="61"/>
      <c r="F89" s="302">
        <v>757530</v>
      </c>
      <c r="G89" s="302"/>
      <c r="H89" s="297">
        <v>0.93744680000000002</v>
      </c>
      <c r="I89" s="297">
        <v>1.0523809523809524</v>
      </c>
      <c r="J89" s="297">
        <v>1.06</v>
      </c>
      <c r="K89" s="302">
        <v>3168730.4927596394</v>
      </c>
      <c r="L89" s="302">
        <v>0</v>
      </c>
      <c r="M89" s="302">
        <v>3168730.4927596394</v>
      </c>
      <c r="N89" s="58" t="s">
        <v>151</v>
      </c>
      <c r="O89" s="61">
        <v>4</v>
      </c>
      <c r="P89" s="61"/>
      <c r="Q89" s="68">
        <f>'Bảng lương'!I17+2*'Bảng lương'!I10</f>
        <v>984789</v>
      </c>
      <c r="R89" s="67"/>
      <c r="S89" s="332">
        <f t="shared" ref="S89:U104" si="16">S$10</f>
        <v>0.93735480000000004</v>
      </c>
      <c r="T89" s="332">
        <f t="shared" si="16"/>
        <v>1.0138088814763606</v>
      </c>
      <c r="U89" s="61">
        <f t="shared" si="16"/>
        <v>1.05</v>
      </c>
      <c r="V89" s="61"/>
      <c r="W89" s="333">
        <f t="shared" si="11"/>
        <v>3930543.2418225906</v>
      </c>
      <c r="X89" s="333">
        <f t="shared" ref="X89:X94" si="17">P89*R89</f>
        <v>0</v>
      </c>
      <c r="Y89" s="334">
        <f t="shared" ref="Y89:Y94" si="18">W89+X89</f>
        <v>3930543.2418225906</v>
      </c>
      <c r="Z89" s="107" t="s">
        <v>759</v>
      </c>
      <c r="AB89" s="307">
        <f t="shared" si="12"/>
        <v>-761812.74906295119</v>
      </c>
    </row>
    <row r="90" spans="1:28" s="306" customFormat="1" ht="63.75" x14ac:dyDescent="0.25">
      <c r="A90" s="336" t="s">
        <v>131</v>
      </c>
      <c r="B90" s="118" t="s">
        <v>765</v>
      </c>
      <c r="C90" s="118" t="s">
        <v>151</v>
      </c>
      <c r="D90" s="61">
        <v>120</v>
      </c>
      <c r="E90" s="61"/>
      <c r="F90" s="302">
        <v>757530</v>
      </c>
      <c r="G90" s="302"/>
      <c r="H90" s="297">
        <v>0.93744680000000002</v>
      </c>
      <c r="I90" s="297">
        <v>1.0523809523809524</v>
      </c>
      <c r="J90" s="297">
        <v>1.06</v>
      </c>
      <c r="K90" s="302">
        <v>95061914.782789171</v>
      </c>
      <c r="L90" s="302">
        <v>0</v>
      </c>
      <c r="M90" s="302">
        <v>95061914.782789171</v>
      </c>
      <c r="N90" s="58" t="s">
        <v>151</v>
      </c>
      <c r="O90" s="61">
        <v>120</v>
      </c>
      <c r="P90" s="61"/>
      <c r="Q90" s="68">
        <f>$Q$89</f>
        <v>984789</v>
      </c>
      <c r="R90" s="67"/>
      <c r="S90" s="332">
        <f t="shared" si="16"/>
        <v>0.93735480000000004</v>
      </c>
      <c r="T90" s="332">
        <f t="shared" si="16"/>
        <v>1.0138088814763606</v>
      </c>
      <c r="U90" s="61">
        <f t="shared" si="16"/>
        <v>1.05</v>
      </c>
      <c r="V90" s="61"/>
      <c r="W90" s="333">
        <f t="shared" si="11"/>
        <v>117916297.25467773</v>
      </c>
      <c r="X90" s="333">
        <f t="shared" si="17"/>
        <v>0</v>
      </c>
      <c r="Y90" s="334">
        <f t="shared" si="18"/>
        <v>117916297.25467773</v>
      </c>
      <c r="Z90" s="107" t="s">
        <v>760</v>
      </c>
      <c r="AB90" s="307">
        <f t="shared" si="12"/>
        <v>-22854382.471888557</v>
      </c>
    </row>
    <row r="91" spans="1:28" s="306" customFormat="1" ht="38.25" x14ac:dyDescent="0.25">
      <c r="A91" s="336" t="s">
        <v>131</v>
      </c>
      <c r="B91" s="118" t="s">
        <v>764</v>
      </c>
      <c r="C91" s="118" t="s">
        <v>151</v>
      </c>
      <c r="D91" s="61">
        <v>70</v>
      </c>
      <c r="E91" s="61"/>
      <c r="F91" s="302">
        <v>757530</v>
      </c>
      <c r="G91" s="302"/>
      <c r="H91" s="297">
        <v>0.93744680000000002</v>
      </c>
      <c r="I91" s="297">
        <v>1.0523809523809524</v>
      </c>
      <c r="J91" s="297">
        <v>1.06</v>
      </c>
      <c r="K91" s="302">
        <v>55452783.62329369</v>
      </c>
      <c r="L91" s="302">
        <v>0</v>
      </c>
      <c r="M91" s="302">
        <v>55452783.62329369</v>
      </c>
      <c r="N91" s="58" t="s">
        <v>151</v>
      </c>
      <c r="O91" s="61">
        <v>70</v>
      </c>
      <c r="P91" s="61"/>
      <c r="Q91" s="68">
        <f>$Q$89</f>
        <v>984789</v>
      </c>
      <c r="R91" s="67"/>
      <c r="S91" s="332">
        <f t="shared" si="16"/>
        <v>0.93735480000000004</v>
      </c>
      <c r="T91" s="332">
        <f t="shared" si="16"/>
        <v>1.0138088814763606</v>
      </c>
      <c r="U91" s="61">
        <f t="shared" si="16"/>
        <v>1.05</v>
      </c>
      <c r="V91" s="61"/>
      <c r="W91" s="333">
        <f t="shared" si="11"/>
        <v>68784506.731895342</v>
      </c>
      <c r="X91" s="333">
        <f t="shared" si="17"/>
        <v>0</v>
      </c>
      <c r="Y91" s="334">
        <f t="shared" si="18"/>
        <v>68784506.731895342</v>
      </c>
      <c r="Z91" s="107" t="s">
        <v>761</v>
      </c>
      <c r="AB91" s="307">
        <f t="shared" si="12"/>
        <v>-13331723.108601652</v>
      </c>
    </row>
    <row r="92" spans="1:28" s="306" customFormat="1" ht="63.75" x14ac:dyDescent="0.25">
      <c r="A92" s="336" t="s">
        <v>131</v>
      </c>
      <c r="B92" s="118" t="s">
        <v>546</v>
      </c>
      <c r="C92" s="118" t="s">
        <v>151</v>
      </c>
      <c r="D92" s="61">
        <v>154</v>
      </c>
      <c r="E92" s="61"/>
      <c r="F92" s="302">
        <v>757530</v>
      </c>
      <c r="G92" s="302"/>
      <c r="H92" s="297">
        <v>0.93744680000000002</v>
      </c>
      <c r="I92" s="297">
        <v>1.0523809523809524</v>
      </c>
      <c r="J92" s="297">
        <v>1.06</v>
      </c>
      <c r="K92" s="302">
        <v>121996123.97124609</v>
      </c>
      <c r="L92" s="302">
        <v>0</v>
      </c>
      <c r="M92" s="302">
        <v>121996123.97124609</v>
      </c>
      <c r="N92" s="58" t="s">
        <v>151</v>
      </c>
      <c r="O92" s="61">
        <v>154</v>
      </c>
      <c r="P92" s="61"/>
      <c r="Q92" s="68">
        <f>$Q$89</f>
        <v>984789</v>
      </c>
      <c r="R92" s="67"/>
      <c r="S92" s="332">
        <f t="shared" si="16"/>
        <v>0.93735480000000004</v>
      </c>
      <c r="T92" s="332">
        <f t="shared" si="16"/>
        <v>1.0138088814763606</v>
      </c>
      <c r="U92" s="61">
        <f t="shared" si="16"/>
        <v>1.05</v>
      </c>
      <c r="V92" s="61"/>
      <c r="W92" s="333">
        <f t="shared" si="11"/>
        <v>151325914.81016976</v>
      </c>
      <c r="X92" s="333">
        <f>P92*R92</f>
        <v>0</v>
      </c>
      <c r="Y92" s="334">
        <f>W92+X92</f>
        <v>151325914.81016976</v>
      </c>
      <c r="Z92" s="107" t="s">
        <v>762</v>
      </c>
      <c r="AB92" s="307">
        <f t="shared" si="12"/>
        <v>-29329790.838923663</v>
      </c>
    </row>
    <row r="93" spans="1:28" s="306" customFormat="1" ht="38.25" x14ac:dyDescent="0.25">
      <c r="A93" s="336" t="s">
        <v>131</v>
      </c>
      <c r="B93" s="118" t="s">
        <v>669</v>
      </c>
      <c r="C93" s="118" t="s">
        <v>151</v>
      </c>
      <c r="D93" s="61">
        <v>12</v>
      </c>
      <c r="E93" s="61"/>
      <c r="F93" s="302">
        <v>757530</v>
      </c>
      <c r="G93" s="302"/>
      <c r="H93" s="297">
        <v>0.93744680000000002</v>
      </c>
      <c r="I93" s="297">
        <v>1.0523809523809524</v>
      </c>
      <c r="J93" s="297">
        <v>1.06</v>
      </c>
      <c r="K93" s="302">
        <v>9506191.4782789182</v>
      </c>
      <c r="L93" s="302">
        <v>0</v>
      </c>
      <c r="M93" s="302">
        <v>9506191.4782789182</v>
      </c>
      <c r="N93" s="58" t="s">
        <v>151</v>
      </c>
      <c r="O93" s="61">
        <v>12</v>
      </c>
      <c r="P93" s="61"/>
      <c r="Q93" s="68">
        <f>$Q$89</f>
        <v>984789</v>
      </c>
      <c r="R93" s="67"/>
      <c r="S93" s="332">
        <f t="shared" si="16"/>
        <v>0.93735480000000004</v>
      </c>
      <c r="T93" s="332">
        <f t="shared" si="16"/>
        <v>1.0138088814763606</v>
      </c>
      <c r="U93" s="61">
        <f t="shared" si="16"/>
        <v>1.05</v>
      </c>
      <c r="V93" s="61"/>
      <c r="W93" s="333">
        <f t="shared" si="11"/>
        <v>11791629.725467773</v>
      </c>
      <c r="X93" s="333">
        <f t="shared" si="17"/>
        <v>0</v>
      </c>
      <c r="Y93" s="334">
        <f t="shared" si="18"/>
        <v>11791629.725467773</v>
      </c>
      <c r="Z93" s="107" t="s">
        <v>763</v>
      </c>
      <c r="AB93" s="307">
        <f t="shared" si="12"/>
        <v>-2285438.247188855</v>
      </c>
    </row>
    <row r="94" spans="1:28" s="306" customFormat="1" ht="38.25" hidden="1" x14ac:dyDescent="0.25">
      <c r="A94" s="336" t="s">
        <v>131</v>
      </c>
      <c r="B94" s="118" t="s">
        <v>670</v>
      </c>
      <c r="C94" s="118" t="s">
        <v>151</v>
      </c>
      <c r="D94" s="61">
        <v>14</v>
      </c>
      <c r="E94" s="61"/>
      <c r="F94" s="302">
        <v>757530</v>
      </c>
      <c r="G94" s="302"/>
      <c r="H94" s="297">
        <v>0.93744680000000002</v>
      </c>
      <c r="I94" s="297">
        <v>1.0523809523809524</v>
      </c>
      <c r="J94" s="297">
        <v>1.06</v>
      </c>
      <c r="K94" s="302">
        <v>11090556.724658739</v>
      </c>
      <c r="L94" s="302">
        <v>0</v>
      </c>
      <c r="M94" s="302">
        <v>11090556.724658739</v>
      </c>
      <c r="N94" s="58" t="s">
        <v>151</v>
      </c>
      <c r="O94" s="61"/>
      <c r="P94" s="61"/>
      <c r="Q94" s="68">
        <f>$Q$89</f>
        <v>984789</v>
      </c>
      <c r="R94" s="67"/>
      <c r="S94" s="332">
        <f t="shared" si="16"/>
        <v>0.93735480000000004</v>
      </c>
      <c r="T94" s="332">
        <f t="shared" si="16"/>
        <v>1.0138088814763606</v>
      </c>
      <c r="U94" s="61">
        <f t="shared" si="16"/>
        <v>1.05</v>
      </c>
      <c r="V94" s="61"/>
      <c r="W94" s="333">
        <f t="shared" si="11"/>
        <v>0</v>
      </c>
      <c r="X94" s="333">
        <f t="shared" si="17"/>
        <v>0</v>
      </c>
      <c r="Y94" s="334">
        <f t="shared" si="18"/>
        <v>0</v>
      </c>
      <c r="Z94" s="107" t="s">
        <v>104</v>
      </c>
      <c r="AB94" s="307">
        <f t="shared" si="12"/>
        <v>11090556.724658739</v>
      </c>
    </row>
    <row r="95" spans="1:28" s="306" customFormat="1" ht="67.5" x14ac:dyDescent="0.25">
      <c r="A95" s="62" t="s">
        <v>675</v>
      </c>
      <c r="B95" s="63" t="s">
        <v>617</v>
      </c>
      <c r="C95" s="63"/>
      <c r="D95" s="358"/>
      <c r="E95" s="358"/>
      <c r="F95" s="64"/>
      <c r="G95" s="64"/>
      <c r="H95" s="295"/>
      <c r="I95" s="295"/>
      <c r="J95" s="295"/>
      <c r="K95" s="64">
        <v>184238694.78738368</v>
      </c>
      <c r="L95" s="64">
        <v>0</v>
      </c>
      <c r="M95" s="64">
        <f>SUM(M96:M97)</f>
        <v>184238694.78738368</v>
      </c>
      <c r="N95" s="62"/>
      <c r="O95" s="358"/>
      <c r="P95" s="358"/>
      <c r="Q95" s="63"/>
      <c r="R95" s="63"/>
      <c r="S95" s="63"/>
      <c r="T95" s="63"/>
      <c r="U95" s="63"/>
      <c r="V95" s="63"/>
      <c r="W95" s="64">
        <f>W96+W97</f>
        <v>99552215.373301625</v>
      </c>
      <c r="X95" s="64">
        <f>X96+X97</f>
        <v>0</v>
      </c>
      <c r="Y95" s="64">
        <f>Y96+Y97</f>
        <v>99552215.373301625</v>
      </c>
      <c r="Z95" s="107"/>
      <c r="AB95" s="307">
        <f t="shared" si="12"/>
        <v>84686479.41408205</v>
      </c>
    </row>
    <row r="96" spans="1:28" s="306" customFormat="1" ht="38.25" hidden="1" x14ac:dyDescent="0.25">
      <c r="A96" s="335" t="s">
        <v>131</v>
      </c>
      <c r="B96" s="67" t="s">
        <v>609</v>
      </c>
      <c r="C96" s="67" t="s">
        <v>151</v>
      </c>
      <c r="D96" s="61">
        <f>12*17*50%</f>
        <v>102</v>
      </c>
      <c r="E96" s="69"/>
      <c r="F96" s="68">
        <v>797192.30769230775</v>
      </c>
      <c r="G96" s="68"/>
      <c r="H96" s="294">
        <v>0.93744680000000002</v>
      </c>
      <c r="I96" s="294">
        <v>1.0523809523809524</v>
      </c>
      <c r="J96" s="294">
        <v>1.06</v>
      </c>
      <c r="K96" s="68">
        <v>85033243.748023227</v>
      </c>
      <c r="L96" s="68">
        <v>0</v>
      </c>
      <c r="M96" s="68">
        <v>85033243.748023227</v>
      </c>
      <c r="N96" s="58" t="s">
        <v>151</v>
      </c>
      <c r="O96" s="61"/>
      <c r="P96" s="69"/>
      <c r="Q96" s="68">
        <f>'Bảng lương'!J27+2*'Bảng lương'!J20</f>
        <v>1036350</v>
      </c>
      <c r="R96" s="67"/>
      <c r="S96" s="332">
        <v>0.9</v>
      </c>
      <c r="T96" s="332">
        <f>T$10</f>
        <v>1.0138088814763606</v>
      </c>
      <c r="U96" s="61">
        <v>0.94</v>
      </c>
      <c r="V96" s="61"/>
      <c r="W96" s="333">
        <f t="shared" si="11"/>
        <v>0</v>
      </c>
      <c r="X96" s="333">
        <f>P96*R96</f>
        <v>0</v>
      </c>
      <c r="Y96" s="334">
        <f>W96+X96</f>
        <v>0</v>
      </c>
      <c r="Z96" s="107" t="s">
        <v>103</v>
      </c>
      <c r="AB96" s="307">
        <f t="shared" si="12"/>
        <v>85033243.748023227</v>
      </c>
    </row>
    <row r="97" spans="1:28" s="306" customFormat="1" ht="51" x14ac:dyDescent="0.25">
      <c r="A97" s="335" t="s">
        <v>131</v>
      </c>
      <c r="B97" s="454" t="s">
        <v>853</v>
      </c>
      <c r="C97" s="67" t="s">
        <v>151</v>
      </c>
      <c r="D97" s="61">
        <f>14*17*50%</f>
        <v>119</v>
      </c>
      <c r="E97" s="69"/>
      <c r="F97" s="68">
        <v>797192.30769230775</v>
      </c>
      <c r="G97" s="68"/>
      <c r="H97" s="294">
        <v>0.93744680000000002</v>
      </c>
      <c r="I97" s="294">
        <v>1.0523809523809524</v>
      </c>
      <c r="J97" s="294">
        <v>1.06</v>
      </c>
      <c r="K97" s="68">
        <v>99205451.039360434</v>
      </c>
      <c r="L97" s="68">
        <v>0</v>
      </c>
      <c r="M97" s="68">
        <v>99205451.039360434</v>
      </c>
      <c r="N97" s="58" t="s">
        <v>151</v>
      </c>
      <c r="O97" s="437">
        <f>14*16*0.5</f>
        <v>112</v>
      </c>
      <c r="P97" s="69"/>
      <c r="Q97" s="68">
        <f>Q96</f>
        <v>1036350</v>
      </c>
      <c r="R97" s="67"/>
      <c r="S97" s="332">
        <v>0.9</v>
      </c>
      <c r="T97" s="332">
        <f>T$10</f>
        <v>1.0138088814763606</v>
      </c>
      <c r="U97" s="61">
        <v>0.94</v>
      </c>
      <c r="V97" s="61"/>
      <c r="W97" s="333">
        <f t="shared" si="11"/>
        <v>99552215.373301625</v>
      </c>
      <c r="X97" s="333">
        <f>P97*R97</f>
        <v>0</v>
      </c>
      <c r="Y97" s="334">
        <f>W97+X97</f>
        <v>99552215.373301625</v>
      </c>
      <c r="Z97" s="107" t="s">
        <v>767</v>
      </c>
      <c r="AB97" s="307">
        <f t="shared" si="12"/>
        <v>-346764.33394119143</v>
      </c>
    </row>
    <row r="98" spans="1:28" s="306" customFormat="1" ht="63" x14ac:dyDescent="0.25">
      <c r="A98" s="342">
        <v>6</v>
      </c>
      <c r="B98" s="230" t="s">
        <v>775</v>
      </c>
      <c r="C98" s="230"/>
      <c r="D98" s="61"/>
      <c r="E98" s="61"/>
      <c r="F98" s="304"/>
      <c r="G98" s="304"/>
      <c r="H98" s="299"/>
      <c r="I98" s="299"/>
      <c r="J98" s="299"/>
      <c r="K98" s="304">
        <v>675338368.60333657</v>
      </c>
      <c r="L98" s="304">
        <v>0</v>
      </c>
      <c r="M98" s="304">
        <f>SUM(M99:M104)</f>
        <v>675338368.60333657</v>
      </c>
      <c r="N98" s="351"/>
      <c r="O98" s="61"/>
      <c r="P98" s="61"/>
      <c r="Q98" s="67"/>
      <c r="R98" s="67"/>
      <c r="S98" s="67"/>
      <c r="T98" s="67"/>
      <c r="U98" s="67"/>
      <c r="V98" s="67"/>
      <c r="W98" s="60">
        <f>W99+W100+W101+W102+W103+W104</f>
        <v>94996261.522311583</v>
      </c>
      <c r="X98" s="60">
        <f>X99+X100+X101+X102+X103+X104</f>
        <v>0</v>
      </c>
      <c r="Y98" s="60">
        <f>Y99+Y100+Y101+Y102+Y103+Y104</f>
        <v>94996261.522311583</v>
      </c>
      <c r="Z98" s="107" t="s">
        <v>768</v>
      </c>
      <c r="AB98" s="307">
        <f t="shared" si="12"/>
        <v>580342107.081025</v>
      </c>
    </row>
    <row r="99" spans="1:28" s="306" customFormat="1" ht="38.25" x14ac:dyDescent="0.25">
      <c r="A99" s="335" t="s">
        <v>131</v>
      </c>
      <c r="B99" s="67" t="s">
        <v>659</v>
      </c>
      <c r="C99" s="67" t="s">
        <v>33</v>
      </c>
      <c r="D99" s="61">
        <f>ROUND(50%*55*17,0)</f>
        <v>468</v>
      </c>
      <c r="E99" s="61"/>
      <c r="F99" s="68">
        <v>625860</v>
      </c>
      <c r="G99" s="68"/>
      <c r="H99" s="294">
        <v>0.93744680000000002</v>
      </c>
      <c r="I99" s="294">
        <v>1.0523809523809524</v>
      </c>
      <c r="J99" s="294">
        <v>1.06</v>
      </c>
      <c r="K99" s="68">
        <v>306301077.11276132</v>
      </c>
      <c r="L99" s="68">
        <v>0</v>
      </c>
      <c r="M99" s="68">
        <v>306301077.11276132</v>
      </c>
      <c r="N99" s="58" t="s">
        <v>33</v>
      </c>
      <c r="O99" s="61">
        <v>55</v>
      </c>
      <c r="P99" s="61"/>
      <c r="Q99" s="68">
        <f>'Bảng lương'!I11+'Bảng lương'!I13</f>
        <v>813618</v>
      </c>
      <c r="R99" s="67"/>
      <c r="S99" s="332">
        <f t="shared" si="16"/>
        <v>0.93735480000000004</v>
      </c>
      <c r="T99" s="332">
        <f t="shared" si="16"/>
        <v>1.0138088814763606</v>
      </c>
      <c r="U99" s="61">
        <f t="shared" si="16"/>
        <v>1.05</v>
      </c>
      <c r="V99" s="61"/>
      <c r="W99" s="333">
        <f t="shared" si="11"/>
        <v>44651148.678266793</v>
      </c>
      <c r="X99" s="333">
        <f t="shared" ref="X99:X104" si="19">P99*R99</f>
        <v>0</v>
      </c>
      <c r="Y99" s="334">
        <f t="shared" ref="Y99:Y104" si="20">W99+X99</f>
        <v>44651148.678266793</v>
      </c>
      <c r="Z99" s="107" t="s">
        <v>769</v>
      </c>
      <c r="AB99" s="307">
        <f t="shared" si="12"/>
        <v>261649928.43449453</v>
      </c>
    </row>
    <row r="100" spans="1:28" s="306" customFormat="1" ht="51" x14ac:dyDescent="0.25">
      <c r="A100" s="335" t="s">
        <v>131</v>
      </c>
      <c r="B100" s="67" t="s">
        <v>672</v>
      </c>
      <c r="C100" s="67" t="s">
        <v>36</v>
      </c>
      <c r="D100" s="61">
        <f>ROUND(50%*22*17,0)</f>
        <v>187</v>
      </c>
      <c r="E100" s="61"/>
      <c r="F100" s="68">
        <v>1031130</v>
      </c>
      <c r="G100" s="68"/>
      <c r="H100" s="294">
        <v>0.93744680000000002</v>
      </c>
      <c r="I100" s="294">
        <v>1.0523809523809524</v>
      </c>
      <c r="J100" s="294">
        <v>1.06</v>
      </c>
      <c r="K100" s="68">
        <v>201641771.49778196</v>
      </c>
      <c r="L100" s="68">
        <v>0</v>
      </c>
      <c r="M100" s="68">
        <v>201641771.49778196</v>
      </c>
      <c r="N100" s="58" t="s">
        <v>36</v>
      </c>
      <c r="O100" s="61">
        <v>20</v>
      </c>
      <c r="P100" s="61"/>
      <c r="Q100" s="68">
        <f>'Bảng lương'!I11+'Bảng lương'!I13+'Bảng lương'!I14</f>
        <v>1340469</v>
      </c>
      <c r="R100" s="67"/>
      <c r="S100" s="332">
        <f t="shared" si="16"/>
        <v>0.93735480000000004</v>
      </c>
      <c r="T100" s="332">
        <f t="shared" si="16"/>
        <v>1.0138088814763606</v>
      </c>
      <c r="U100" s="61">
        <f t="shared" si="16"/>
        <v>1.05</v>
      </c>
      <c r="V100" s="61"/>
      <c r="W100" s="333">
        <f t="shared" si="11"/>
        <v>26750762.695474293</v>
      </c>
      <c r="X100" s="333">
        <f t="shared" si="19"/>
        <v>0</v>
      </c>
      <c r="Y100" s="334">
        <f t="shared" si="20"/>
        <v>26750762.695474293</v>
      </c>
      <c r="Z100" s="107" t="s">
        <v>770</v>
      </c>
      <c r="AB100" s="307">
        <f t="shared" si="12"/>
        <v>174891008.80230767</v>
      </c>
    </row>
    <row r="101" spans="1:28" s="306" customFormat="1" ht="38.25" x14ac:dyDescent="0.25">
      <c r="A101" s="335" t="s">
        <v>131</v>
      </c>
      <c r="B101" s="67" t="s">
        <v>671</v>
      </c>
      <c r="C101" s="67" t="s">
        <v>155</v>
      </c>
      <c r="D101" s="61">
        <f>ROUND(50%*2*17,0)</f>
        <v>17</v>
      </c>
      <c r="E101" s="61"/>
      <c r="F101" s="68">
        <v>501030</v>
      </c>
      <c r="G101" s="68"/>
      <c r="H101" s="294">
        <v>0.93744680000000002</v>
      </c>
      <c r="I101" s="294">
        <v>1.0523809523809524</v>
      </c>
      <c r="J101" s="294">
        <v>1.06</v>
      </c>
      <c r="K101" s="68">
        <v>8907136.8986657802</v>
      </c>
      <c r="L101" s="68">
        <v>0</v>
      </c>
      <c r="M101" s="68">
        <v>8907136.8986657802</v>
      </c>
      <c r="N101" s="58" t="s">
        <v>155</v>
      </c>
      <c r="O101" s="61">
        <v>2</v>
      </c>
      <c r="P101" s="61"/>
      <c r="Q101" s="68">
        <f>'Bảng lương'!I17+'Bảng lương'!I10</f>
        <v>651339</v>
      </c>
      <c r="R101" s="67"/>
      <c r="S101" s="332">
        <f t="shared" si="16"/>
        <v>0.93735480000000004</v>
      </c>
      <c r="T101" s="332">
        <f t="shared" si="16"/>
        <v>1.0138088814763606</v>
      </c>
      <c r="U101" s="61">
        <f t="shared" si="16"/>
        <v>1.05</v>
      </c>
      <c r="V101" s="61"/>
      <c r="W101" s="333">
        <f t="shared" si="11"/>
        <v>1299829.7628149199</v>
      </c>
      <c r="X101" s="333">
        <f t="shared" si="19"/>
        <v>0</v>
      </c>
      <c r="Y101" s="334">
        <f t="shared" si="20"/>
        <v>1299829.7628149199</v>
      </c>
      <c r="Z101" s="107" t="s">
        <v>771</v>
      </c>
      <c r="AB101" s="307">
        <f t="shared" si="12"/>
        <v>7607307.1358508598</v>
      </c>
    </row>
    <row r="102" spans="1:28" s="306" customFormat="1" ht="38.25" x14ac:dyDescent="0.25">
      <c r="A102" s="335" t="s">
        <v>131</v>
      </c>
      <c r="B102" s="67" t="s">
        <v>673</v>
      </c>
      <c r="C102" s="67" t="s">
        <v>33</v>
      </c>
      <c r="D102" s="61">
        <f>ROUND(50%*10*17,0)</f>
        <v>85</v>
      </c>
      <c r="E102" s="61"/>
      <c r="F102" s="68">
        <v>625860</v>
      </c>
      <c r="G102" s="68"/>
      <c r="H102" s="294">
        <v>0.93744680000000002</v>
      </c>
      <c r="I102" s="294">
        <v>1.0523809523809524</v>
      </c>
      <c r="J102" s="294">
        <v>1.06</v>
      </c>
      <c r="K102" s="68">
        <v>55631605.885864764</v>
      </c>
      <c r="L102" s="68">
        <v>0</v>
      </c>
      <c r="M102" s="68">
        <v>55631605.885864764</v>
      </c>
      <c r="N102" s="58" t="s">
        <v>33</v>
      </c>
      <c r="O102" s="61">
        <v>10</v>
      </c>
      <c r="P102" s="61"/>
      <c r="Q102" s="68">
        <f>Q99</f>
        <v>813618</v>
      </c>
      <c r="R102" s="67"/>
      <c r="S102" s="332">
        <f t="shared" si="16"/>
        <v>0.93735480000000004</v>
      </c>
      <c r="T102" s="332">
        <f t="shared" si="16"/>
        <v>1.0138088814763606</v>
      </c>
      <c r="U102" s="61">
        <f t="shared" si="16"/>
        <v>1.05</v>
      </c>
      <c r="V102" s="61"/>
      <c r="W102" s="333">
        <f t="shared" si="11"/>
        <v>8118390.6687757811</v>
      </c>
      <c r="X102" s="333">
        <f t="shared" si="19"/>
        <v>0</v>
      </c>
      <c r="Y102" s="334">
        <f t="shared" si="20"/>
        <v>8118390.6687757811</v>
      </c>
      <c r="Z102" s="107" t="s">
        <v>772</v>
      </c>
      <c r="AB102" s="307">
        <f t="shared" si="12"/>
        <v>47513215.217088982</v>
      </c>
    </row>
    <row r="103" spans="1:28" s="306" customFormat="1" ht="38.25" x14ac:dyDescent="0.25">
      <c r="A103" s="335" t="s">
        <v>131</v>
      </c>
      <c r="B103" s="67" t="s">
        <v>674</v>
      </c>
      <c r="C103" s="67" t="s">
        <v>32</v>
      </c>
      <c r="D103" s="61">
        <f>ROUND(50%*15*18,0)</f>
        <v>135</v>
      </c>
      <c r="E103" s="61"/>
      <c r="F103" s="68">
        <v>661770</v>
      </c>
      <c r="G103" s="68"/>
      <c r="H103" s="294">
        <v>0.93744680000000002</v>
      </c>
      <c r="I103" s="294">
        <v>1.0523809523809524</v>
      </c>
      <c r="J103" s="294">
        <v>1.06</v>
      </c>
      <c r="K103" s="68">
        <v>93425691.080263749</v>
      </c>
      <c r="L103" s="68">
        <v>0</v>
      </c>
      <c r="M103" s="68">
        <v>93425691.080263749</v>
      </c>
      <c r="N103" s="58" t="s">
        <v>32</v>
      </c>
      <c r="O103" s="61">
        <v>15</v>
      </c>
      <c r="P103" s="61"/>
      <c r="Q103" s="68">
        <f>'Bảng lương'!I10+'Bảng lương'!I14</f>
        <v>860301</v>
      </c>
      <c r="R103" s="67"/>
      <c r="S103" s="332">
        <f t="shared" si="16"/>
        <v>0.93735480000000004</v>
      </c>
      <c r="T103" s="332">
        <f t="shared" si="16"/>
        <v>1.0138088814763606</v>
      </c>
      <c r="U103" s="61">
        <f t="shared" si="16"/>
        <v>1.05</v>
      </c>
      <c r="V103" s="61"/>
      <c r="W103" s="333">
        <f t="shared" si="11"/>
        <v>12876299.954164866</v>
      </c>
      <c r="X103" s="333">
        <f t="shared" si="19"/>
        <v>0</v>
      </c>
      <c r="Y103" s="334">
        <f t="shared" si="20"/>
        <v>12876299.954164866</v>
      </c>
      <c r="Z103" s="107" t="s">
        <v>773</v>
      </c>
      <c r="AB103" s="307">
        <f t="shared" si="12"/>
        <v>80549391.126098886</v>
      </c>
    </row>
    <row r="104" spans="1:28" s="306" customFormat="1" ht="38.25" x14ac:dyDescent="0.25">
      <c r="A104" s="335" t="s">
        <v>131</v>
      </c>
      <c r="B104" s="67" t="s">
        <v>37</v>
      </c>
      <c r="C104" s="67" t="s">
        <v>155</v>
      </c>
      <c r="D104" s="61">
        <f>ROUND(50%*2*18,0)</f>
        <v>18</v>
      </c>
      <c r="E104" s="61"/>
      <c r="F104" s="68">
        <v>501030</v>
      </c>
      <c r="G104" s="68"/>
      <c r="H104" s="294">
        <v>0.93744680000000002</v>
      </c>
      <c r="I104" s="294">
        <v>1.0523809523809524</v>
      </c>
      <c r="J104" s="294">
        <v>1.06</v>
      </c>
      <c r="K104" s="68">
        <v>9431086.1279990617</v>
      </c>
      <c r="L104" s="68">
        <v>0</v>
      </c>
      <c r="M104" s="68">
        <v>9431086.1279990617</v>
      </c>
      <c r="N104" s="58" t="s">
        <v>155</v>
      </c>
      <c r="O104" s="61">
        <v>2</v>
      </c>
      <c r="P104" s="61"/>
      <c r="Q104" s="68">
        <f>'Bảng lương'!I17+'Bảng lương'!I10</f>
        <v>651339</v>
      </c>
      <c r="R104" s="67"/>
      <c r="S104" s="332">
        <f t="shared" si="16"/>
        <v>0.93735480000000004</v>
      </c>
      <c r="T104" s="332">
        <f t="shared" si="16"/>
        <v>1.0138088814763606</v>
      </c>
      <c r="U104" s="61">
        <f t="shared" si="16"/>
        <v>1.05</v>
      </c>
      <c r="V104" s="61"/>
      <c r="W104" s="333">
        <f t="shared" si="11"/>
        <v>1299829.7628149199</v>
      </c>
      <c r="X104" s="333">
        <f t="shared" si="19"/>
        <v>0</v>
      </c>
      <c r="Y104" s="334">
        <f t="shared" si="20"/>
        <v>1299829.7628149199</v>
      </c>
      <c r="Z104" s="107" t="s">
        <v>774</v>
      </c>
      <c r="AB104" s="307">
        <f t="shared" si="12"/>
        <v>8131256.3651841413</v>
      </c>
    </row>
    <row r="105" spans="1:28" x14ac:dyDescent="0.25">
      <c r="W105" s="352"/>
      <c r="X105" s="352"/>
    </row>
    <row r="106" spans="1:28" x14ac:dyDescent="0.25">
      <c r="P106" s="353"/>
      <c r="W106" s="354"/>
      <c r="X106" s="354"/>
      <c r="Y106" s="355"/>
    </row>
    <row r="107" spans="1:28" x14ac:dyDescent="0.25">
      <c r="W107" s="354"/>
      <c r="X107" s="354"/>
      <c r="Y107" s="355"/>
    </row>
    <row r="108" spans="1:28" x14ac:dyDescent="0.25">
      <c r="B108" s="310"/>
      <c r="C108" s="310"/>
      <c r="D108" s="310"/>
      <c r="E108" s="310"/>
      <c r="F108" s="310"/>
      <c r="G108" s="310"/>
      <c r="H108" s="310"/>
      <c r="I108" s="310"/>
      <c r="J108" s="310"/>
      <c r="K108" s="310"/>
      <c r="L108" s="310"/>
      <c r="M108" s="310"/>
      <c r="N108" s="310"/>
      <c r="W108" s="356"/>
      <c r="Y108" s="355"/>
    </row>
    <row r="109" spans="1:28" x14ac:dyDescent="0.25">
      <c r="B109" s="311"/>
      <c r="C109" s="311"/>
      <c r="D109" s="311"/>
      <c r="E109" s="311"/>
      <c r="F109" s="311"/>
      <c r="G109" s="311"/>
      <c r="H109" s="311"/>
      <c r="I109" s="311"/>
      <c r="J109" s="311"/>
      <c r="K109" s="311"/>
      <c r="L109" s="311"/>
      <c r="M109" s="311"/>
      <c r="N109" s="311"/>
      <c r="W109" s="354"/>
      <c r="Y109" s="355"/>
    </row>
    <row r="110" spans="1:28" x14ac:dyDescent="0.25">
      <c r="B110" s="311"/>
      <c r="C110" s="311"/>
      <c r="D110" s="311"/>
      <c r="E110" s="311"/>
      <c r="F110" s="311"/>
      <c r="G110" s="311"/>
      <c r="H110" s="311"/>
      <c r="I110" s="311"/>
      <c r="J110" s="311"/>
      <c r="K110" s="311"/>
      <c r="L110" s="311"/>
      <c r="M110" s="311"/>
      <c r="N110" s="311"/>
    </row>
    <row r="111" spans="1:28" x14ac:dyDescent="0.25">
      <c r="Y111" s="352"/>
    </row>
    <row r="112" spans="1:28" x14ac:dyDescent="0.25">
      <c r="Y112" s="352"/>
    </row>
    <row r="113" spans="23:25" x14ac:dyDescent="0.25">
      <c r="W113" s="354"/>
      <c r="Y113" s="354"/>
    </row>
    <row r="114" spans="23:25" x14ac:dyDescent="0.25">
      <c r="Y114" s="354"/>
    </row>
    <row r="185" spans="23:23" x14ac:dyDescent="0.25">
      <c r="W185" s="305" t="s">
        <v>634</v>
      </c>
    </row>
  </sheetData>
  <mergeCells count="14">
    <mergeCell ref="AB5:AB6"/>
    <mergeCell ref="A1:Z1"/>
    <mergeCell ref="W5:Y5"/>
    <mergeCell ref="N5:N6"/>
    <mergeCell ref="O5:P5"/>
    <mergeCell ref="B4:B6"/>
    <mergeCell ref="X3:Z3"/>
    <mergeCell ref="A4:A6"/>
    <mergeCell ref="Z4:Z5"/>
    <mergeCell ref="N4:Y4"/>
    <mergeCell ref="Q5:R5"/>
    <mergeCell ref="S5:V5"/>
    <mergeCell ref="C4:M6"/>
    <mergeCell ref="A2:Z2"/>
  </mergeCells>
  <phoneticPr fontId="25" type="noConversion"/>
  <pageMargins left="0.261811024" right="0.143700787" top="0.59055118110236204" bottom="0.28000000000000003" header="6.4960630000000005E-2" footer="6.4960630000000005E-2"/>
  <pageSetup scale="85"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AI53"/>
  <sheetViews>
    <sheetView workbookViewId="0">
      <pane xSplit="2" ySplit="6" topLeftCell="C19" activePane="bottomRight" state="frozen"/>
      <selection pane="topRight" activeCell="C1" sqref="C1"/>
      <selection pane="bottomLeft" activeCell="A7" sqref="A7"/>
      <selection pane="bottomRight" activeCell="AB14" sqref="AB14"/>
    </sheetView>
  </sheetViews>
  <sheetFormatPr defaultRowHeight="13.5" x14ac:dyDescent="0.2"/>
  <cols>
    <col min="1" max="1" width="3.7109375" style="148" customWidth="1"/>
    <col min="2" max="2" width="18.42578125" style="148" customWidth="1"/>
    <col min="3" max="3" width="9" style="318" hidden="1" customWidth="1"/>
    <col min="4" max="9" width="9" style="148" hidden="1" customWidth="1"/>
    <col min="10" max="10" width="10.28515625" style="148" hidden="1" customWidth="1"/>
    <col min="11" max="11" width="10.28515625" style="326" hidden="1" customWidth="1"/>
    <col min="12" max="12" width="10.28515625" style="148" hidden="1" customWidth="1"/>
    <col min="13" max="13" width="10.28515625" style="326" hidden="1" customWidth="1"/>
    <col min="14" max="14" width="10.28515625" style="148" hidden="1" customWidth="1"/>
    <col min="15" max="15" width="10.28515625" style="326" hidden="1" customWidth="1"/>
    <col min="16" max="16" width="10.28515625" style="148" hidden="1" customWidth="1"/>
    <col min="17" max="17" width="10.28515625" style="326" hidden="1" customWidth="1"/>
    <col min="18" max="18" width="12.85546875" style="148" hidden="1" customWidth="1"/>
    <col min="19" max="19" width="6.7109375" style="150" customWidth="1"/>
    <col min="20" max="20" width="5.140625" style="150" customWidth="1"/>
    <col min="21" max="21" width="4.5703125" style="150" customWidth="1"/>
    <col min="22" max="22" width="4.7109375" style="150" customWidth="1"/>
    <col min="23" max="23" width="5.7109375" style="150" customWidth="1"/>
    <col min="24" max="24" width="6.7109375" style="150" customWidth="1"/>
    <col min="25" max="25" width="9.85546875" style="150" customWidth="1"/>
    <col min="26" max="26" width="8.28515625" style="151" bestFit="1" customWidth="1"/>
    <col min="27" max="27" width="6.140625" style="151" customWidth="1"/>
    <col min="28" max="28" width="8.28515625" style="151" customWidth="1"/>
    <col min="29" max="29" width="6.5703125" style="151" bestFit="1" customWidth="1"/>
    <col min="30" max="30" width="8.5703125" style="151" customWidth="1"/>
    <col min="31" max="31" width="6.42578125" style="151" customWidth="1"/>
    <col min="32" max="32" width="8.7109375" style="151" customWidth="1"/>
    <col min="33" max="33" width="5.140625" style="151" bestFit="1" customWidth="1"/>
    <col min="34" max="34" width="13.42578125" style="153" customWidth="1"/>
    <col min="35" max="35" width="12.28515625" style="147" customWidth="1"/>
    <col min="36" max="36" width="9.140625" style="148" customWidth="1"/>
    <col min="37" max="16384" width="9.140625" style="148"/>
  </cols>
  <sheetData>
    <row r="1" spans="1:35" ht="14.25" x14ac:dyDescent="0.2">
      <c r="A1" s="476" t="s">
        <v>286</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6"/>
      <c r="AE1" s="476"/>
      <c r="AF1" s="476"/>
      <c r="AG1" s="476"/>
      <c r="AH1" s="476"/>
    </row>
    <row r="2" spans="1:35" ht="37.5" customHeight="1" x14ac:dyDescent="0.2">
      <c r="A2" s="484" t="s">
        <v>542</v>
      </c>
      <c r="B2" s="484"/>
      <c r="C2" s="484"/>
      <c r="D2" s="484"/>
      <c r="E2" s="484"/>
      <c r="F2" s="484"/>
      <c r="G2" s="484"/>
      <c r="H2" s="484"/>
      <c r="I2" s="484"/>
      <c r="J2" s="484"/>
      <c r="K2" s="484"/>
      <c r="L2" s="484"/>
      <c r="M2" s="484"/>
      <c r="N2" s="484"/>
      <c r="O2" s="484"/>
      <c r="P2" s="484"/>
      <c r="Q2" s="484"/>
      <c r="R2" s="484"/>
      <c r="S2" s="484"/>
      <c r="T2" s="484"/>
      <c r="U2" s="484"/>
      <c r="V2" s="484"/>
      <c r="W2" s="484"/>
      <c r="X2" s="484"/>
      <c r="Y2" s="484"/>
      <c r="Z2" s="484"/>
      <c r="AA2" s="484"/>
      <c r="AB2" s="484"/>
      <c r="AC2" s="484"/>
      <c r="AD2" s="484"/>
      <c r="AE2" s="484"/>
      <c r="AF2" s="484"/>
      <c r="AG2" s="484"/>
      <c r="AH2" s="484"/>
    </row>
    <row r="3" spans="1:35" ht="15" customHeight="1" x14ac:dyDescent="0.2">
      <c r="A3" s="149"/>
      <c r="AG3" s="338" t="s">
        <v>176</v>
      </c>
      <c r="AH3" s="338"/>
    </row>
    <row r="4" spans="1:35" ht="15" customHeight="1" x14ac:dyDescent="0.2">
      <c r="A4" s="479" t="s">
        <v>59</v>
      </c>
      <c r="B4" s="479" t="s">
        <v>287</v>
      </c>
      <c r="C4" s="480" t="s">
        <v>637</v>
      </c>
      <c r="D4" s="480"/>
      <c r="E4" s="480"/>
      <c r="F4" s="480"/>
      <c r="G4" s="480"/>
      <c r="H4" s="480"/>
      <c r="I4" s="480"/>
      <c r="J4" s="480"/>
      <c r="K4" s="480"/>
      <c r="L4" s="480"/>
      <c r="M4" s="480"/>
      <c r="N4" s="480"/>
      <c r="O4" s="480"/>
      <c r="P4" s="480"/>
      <c r="Q4" s="480"/>
      <c r="R4" s="480"/>
      <c r="S4" s="489" t="s">
        <v>685</v>
      </c>
      <c r="T4" s="489"/>
      <c r="U4" s="489"/>
      <c r="V4" s="489"/>
      <c r="W4" s="489"/>
      <c r="X4" s="489"/>
      <c r="Y4" s="489"/>
      <c r="Z4" s="489"/>
      <c r="AA4" s="489"/>
      <c r="AB4" s="489"/>
      <c r="AC4" s="489"/>
      <c r="AD4" s="489"/>
      <c r="AE4" s="489"/>
      <c r="AF4" s="489"/>
      <c r="AG4" s="489"/>
      <c r="AH4" s="489"/>
      <c r="AI4" s="489"/>
    </row>
    <row r="5" spans="1:35" s="153" customFormat="1" ht="38.25" customHeight="1" x14ac:dyDescent="0.25">
      <c r="A5" s="479"/>
      <c r="B5" s="479"/>
      <c r="C5" s="480"/>
      <c r="D5" s="480"/>
      <c r="E5" s="480"/>
      <c r="F5" s="480"/>
      <c r="G5" s="480"/>
      <c r="H5" s="480"/>
      <c r="I5" s="480"/>
      <c r="J5" s="480"/>
      <c r="K5" s="480"/>
      <c r="L5" s="480"/>
      <c r="M5" s="480"/>
      <c r="N5" s="480"/>
      <c r="O5" s="480"/>
      <c r="P5" s="480"/>
      <c r="Q5" s="480"/>
      <c r="R5" s="480"/>
      <c r="S5" s="477" t="s">
        <v>288</v>
      </c>
      <c r="T5" s="478" t="s">
        <v>289</v>
      </c>
      <c r="U5" s="478" t="s">
        <v>290</v>
      </c>
      <c r="V5" s="477" t="s">
        <v>291</v>
      </c>
      <c r="W5" s="477" t="s">
        <v>292</v>
      </c>
      <c r="X5" s="477" t="s">
        <v>293</v>
      </c>
      <c r="Y5" s="477" t="s">
        <v>778</v>
      </c>
      <c r="Z5" s="485" t="s">
        <v>294</v>
      </c>
      <c r="AA5" s="485"/>
      <c r="AB5" s="477" t="s">
        <v>295</v>
      </c>
      <c r="AC5" s="477"/>
      <c r="AD5" s="477" t="s">
        <v>296</v>
      </c>
      <c r="AE5" s="477"/>
      <c r="AF5" s="477" t="s">
        <v>297</v>
      </c>
      <c r="AG5" s="477"/>
      <c r="AH5" s="477" t="s">
        <v>298</v>
      </c>
      <c r="AI5" s="490" t="s">
        <v>299</v>
      </c>
    </row>
    <row r="6" spans="1:35" s="155" customFormat="1" ht="51" customHeight="1" x14ac:dyDescent="0.25">
      <c r="A6" s="479"/>
      <c r="B6" s="479"/>
      <c r="C6" s="480"/>
      <c r="D6" s="480"/>
      <c r="E6" s="480"/>
      <c r="F6" s="480"/>
      <c r="G6" s="480"/>
      <c r="H6" s="480"/>
      <c r="I6" s="480"/>
      <c r="J6" s="480"/>
      <c r="K6" s="480"/>
      <c r="L6" s="480"/>
      <c r="M6" s="480"/>
      <c r="N6" s="480"/>
      <c r="O6" s="480"/>
      <c r="P6" s="480"/>
      <c r="Q6" s="480"/>
      <c r="R6" s="480"/>
      <c r="S6" s="477"/>
      <c r="T6" s="478"/>
      <c r="U6" s="478"/>
      <c r="V6" s="477"/>
      <c r="W6" s="477"/>
      <c r="X6" s="477"/>
      <c r="Y6" s="477"/>
      <c r="Z6" s="154" t="s">
        <v>300</v>
      </c>
      <c r="AA6" s="154" t="s">
        <v>301</v>
      </c>
      <c r="AB6" s="154" t="s">
        <v>300</v>
      </c>
      <c r="AC6" s="154" t="s">
        <v>301</v>
      </c>
      <c r="AD6" s="154" t="s">
        <v>300</v>
      </c>
      <c r="AE6" s="154" t="s">
        <v>301</v>
      </c>
      <c r="AF6" s="154" t="s">
        <v>300</v>
      </c>
      <c r="AG6" s="154" t="s">
        <v>301</v>
      </c>
      <c r="AH6" s="477"/>
      <c r="AI6" s="490"/>
    </row>
    <row r="7" spans="1:35" s="155" customFormat="1" ht="15.75" x14ac:dyDescent="0.25">
      <c r="A7" s="156"/>
      <c r="B7" s="156" t="s">
        <v>9</v>
      </c>
      <c r="C7" s="156"/>
      <c r="D7" s="156"/>
      <c r="E7" s="156"/>
      <c r="F7" s="156"/>
      <c r="G7" s="156"/>
      <c r="H7" s="156"/>
      <c r="I7" s="156"/>
      <c r="J7" s="156"/>
      <c r="K7" s="324"/>
      <c r="L7" s="156"/>
      <c r="M7" s="324"/>
      <c r="N7" s="156"/>
      <c r="O7" s="324"/>
      <c r="P7" s="156"/>
      <c r="Q7" s="324"/>
      <c r="R7" s="325">
        <v>1039384608.102</v>
      </c>
      <c r="S7" s="157"/>
      <c r="T7" s="158"/>
      <c r="U7" s="158"/>
      <c r="V7" s="157"/>
      <c r="W7" s="157"/>
      <c r="X7" s="157"/>
      <c r="Y7" s="157"/>
      <c r="Z7" s="154"/>
      <c r="AA7" s="154"/>
      <c r="AB7" s="154"/>
      <c r="AC7" s="154"/>
      <c r="AD7" s="154"/>
      <c r="AE7" s="154"/>
      <c r="AF7" s="154"/>
      <c r="AG7" s="154"/>
      <c r="AH7" s="159">
        <f>AH8+AH20+AH24+AH27+AH44+AH49</f>
        <v>968369000.56650007</v>
      </c>
      <c r="AI7" s="152"/>
    </row>
    <row r="8" spans="1:35" s="153" customFormat="1" ht="25.5" x14ac:dyDescent="0.25">
      <c r="A8" s="156">
        <v>1</v>
      </c>
      <c r="B8" s="160" t="s">
        <v>302</v>
      </c>
      <c r="C8" s="156"/>
      <c r="D8" s="160"/>
      <c r="E8" s="160"/>
      <c r="F8" s="160"/>
      <c r="G8" s="160"/>
      <c r="H8" s="160"/>
      <c r="I8" s="321">
        <v>564.64940000000001</v>
      </c>
      <c r="J8" s="160"/>
      <c r="K8" s="319"/>
      <c r="L8" s="160"/>
      <c r="M8" s="319"/>
      <c r="N8" s="160"/>
      <c r="O8" s="319"/>
      <c r="P8" s="160"/>
      <c r="Q8" s="319"/>
      <c r="R8" s="321">
        <v>311428038.60000002</v>
      </c>
      <c r="S8" s="160"/>
      <c r="T8" s="160"/>
      <c r="U8" s="160"/>
      <c r="V8" s="160"/>
      <c r="W8" s="160"/>
      <c r="X8" s="160"/>
      <c r="Y8" s="160"/>
      <c r="Z8" s="160"/>
      <c r="AA8" s="160"/>
      <c r="AB8" s="160"/>
      <c r="AC8" s="160"/>
      <c r="AD8" s="160"/>
      <c r="AE8" s="160"/>
      <c r="AF8" s="160"/>
      <c r="AG8" s="160"/>
      <c r="AH8" s="161">
        <f>AH9+AH12</f>
        <v>289183178.69999999</v>
      </c>
      <c r="AI8" s="359"/>
    </row>
    <row r="9" spans="1:35" s="153" customFormat="1" ht="27" x14ac:dyDescent="0.25">
      <c r="A9" s="163" t="s">
        <v>13</v>
      </c>
      <c r="B9" s="164" t="s">
        <v>303</v>
      </c>
      <c r="C9" s="163"/>
      <c r="D9" s="164"/>
      <c r="E9" s="164"/>
      <c r="F9" s="164"/>
      <c r="G9" s="164"/>
      <c r="H9" s="164"/>
      <c r="I9" s="322">
        <v>69.3</v>
      </c>
      <c r="J9" s="164"/>
      <c r="K9" s="320"/>
      <c r="L9" s="164"/>
      <c r="M9" s="320"/>
      <c r="N9" s="164"/>
      <c r="O9" s="320"/>
      <c r="P9" s="164"/>
      <c r="Q9" s="320"/>
      <c r="R9" s="322">
        <v>15820150.5</v>
      </c>
      <c r="S9" s="154"/>
      <c r="T9" s="154"/>
      <c r="U9" s="154"/>
      <c r="V9" s="154"/>
      <c r="W9" s="154"/>
      <c r="X9" s="154"/>
      <c r="Y9" s="154"/>
      <c r="Z9" s="154"/>
      <c r="AA9" s="165"/>
      <c r="AB9" s="165"/>
      <c r="AC9" s="165"/>
      <c r="AD9" s="165"/>
      <c r="AE9" s="165"/>
      <c r="AF9" s="165"/>
      <c r="AG9" s="165"/>
      <c r="AH9" s="166">
        <f>AH10+AH11</f>
        <v>14690139.75</v>
      </c>
      <c r="AI9" s="486" t="s">
        <v>776</v>
      </c>
    </row>
    <row r="10" spans="1:35" s="153" customFormat="1" ht="63.75" x14ac:dyDescent="0.25">
      <c r="A10" s="167"/>
      <c r="B10" s="168" t="s">
        <v>304</v>
      </c>
      <c r="C10" s="170" t="s">
        <v>305</v>
      </c>
      <c r="D10" s="168">
        <v>11</v>
      </c>
      <c r="E10" s="168" t="s">
        <v>131</v>
      </c>
      <c r="F10" s="168">
        <v>5</v>
      </c>
      <c r="G10" s="323" t="s">
        <v>306</v>
      </c>
      <c r="H10" s="168">
        <v>55</v>
      </c>
      <c r="I10" s="315">
        <v>38.5</v>
      </c>
      <c r="J10" s="315">
        <v>200070</v>
      </c>
      <c r="K10" s="312">
        <v>0</v>
      </c>
      <c r="L10" s="315">
        <v>228285</v>
      </c>
      <c r="M10" s="312">
        <v>38.5</v>
      </c>
      <c r="N10" s="315">
        <v>256500</v>
      </c>
      <c r="O10" s="312">
        <v>0</v>
      </c>
      <c r="P10" s="315">
        <v>284715</v>
      </c>
      <c r="Q10" s="312">
        <v>0</v>
      </c>
      <c r="R10" s="315">
        <v>8788972.5</v>
      </c>
      <c r="S10" s="169" t="s">
        <v>305</v>
      </c>
      <c r="T10" s="169">
        <v>11</v>
      </c>
      <c r="U10" s="170" t="s">
        <v>131</v>
      </c>
      <c r="V10" s="169">
        <v>5</v>
      </c>
      <c r="W10" s="169" t="s">
        <v>306</v>
      </c>
      <c r="X10" s="169">
        <f>T10*V10</f>
        <v>55</v>
      </c>
      <c r="Y10" s="169">
        <f>X10*0.5</f>
        <v>27.5</v>
      </c>
      <c r="Z10" s="171">
        <f>'Bảng lương'!I8</f>
        <v>260091</v>
      </c>
      <c r="AA10" s="171">
        <v>0</v>
      </c>
      <c r="AB10" s="171">
        <f>'Bảng lương'!I9</f>
        <v>296770.5</v>
      </c>
      <c r="AC10" s="171">
        <f>Y10</f>
        <v>27.5</v>
      </c>
      <c r="AD10" s="171">
        <f>'Bảng lương'!I10</f>
        <v>333450</v>
      </c>
      <c r="AE10" s="171">
        <v>0</v>
      </c>
      <c r="AF10" s="171">
        <f>'Bảng lương'!I11</f>
        <v>370129.5</v>
      </c>
      <c r="AG10" s="171">
        <v>0</v>
      </c>
      <c r="AH10" s="172">
        <f>AA10*Z10+AC10*AB10+AE10*AD10*+AG10*AF10</f>
        <v>8161188.75</v>
      </c>
      <c r="AI10" s="487"/>
    </row>
    <row r="11" spans="1:35" s="153" customFormat="1" ht="25.5" x14ac:dyDescent="0.25">
      <c r="A11" s="167"/>
      <c r="B11" s="168" t="s">
        <v>307</v>
      </c>
      <c r="C11" s="170" t="s">
        <v>305</v>
      </c>
      <c r="D11" s="168">
        <v>11</v>
      </c>
      <c r="E11" s="168" t="s">
        <v>131</v>
      </c>
      <c r="F11" s="168">
        <v>4</v>
      </c>
      <c r="G11" s="323" t="s">
        <v>306</v>
      </c>
      <c r="H11" s="168">
        <v>44</v>
      </c>
      <c r="I11" s="315">
        <v>30.799999999999997</v>
      </c>
      <c r="J11" s="315">
        <v>200070</v>
      </c>
      <c r="K11" s="312">
        <v>0</v>
      </c>
      <c r="L11" s="315">
        <v>228285</v>
      </c>
      <c r="M11" s="312">
        <v>30.799999999999997</v>
      </c>
      <c r="N11" s="315">
        <v>256500</v>
      </c>
      <c r="O11" s="312"/>
      <c r="P11" s="315">
        <v>284715</v>
      </c>
      <c r="Q11" s="312"/>
      <c r="R11" s="315">
        <v>7031177.9999999991</v>
      </c>
      <c r="S11" s="169" t="s">
        <v>305</v>
      </c>
      <c r="T11" s="169">
        <f>T10</f>
        <v>11</v>
      </c>
      <c r="U11" s="170" t="s">
        <v>131</v>
      </c>
      <c r="V11" s="169">
        <v>4</v>
      </c>
      <c r="W11" s="169" t="s">
        <v>306</v>
      </c>
      <c r="X11" s="169">
        <f>T11*V11</f>
        <v>44</v>
      </c>
      <c r="Y11" s="169">
        <f t="shared" ref="Y11:Y52" si="0">X11*0.5</f>
        <v>22</v>
      </c>
      <c r="Z11" s="171">
        <f>Z10</f>
        <v>260091</v>
      </c>
      <c r="AA11" s="171">
        <v>0</v>
      </c>
      <c r="AB11" s="171">
        <f>AB10</f>
        <v>296770.5</v>
      </c>
      <c r="AC11" s="171">
        <f>Y11-AA11</f>
        <v>22</v>
      </c>
      <c r="AD11" s="171">
        <f>AD10</f>
        <v>333450</v>
      </c>
      <c r="AE11" s="171"/>
      <c r="AF11" s="171">
        <f>AF10</f>
        <v>370129.5</v>
      </c>
      <c r="AG11" s="171"/>
      <c r="AH11" s="172">
        <f>AA11*Z11+AC11*AB11+AE11*AD11+AG11*AF11</f>
        <v>6528951</v>
      </c>
      <c r="AI11" s="488"/>
    </row>
    <row r="12" spans="1:35" s="153" customFormat="1" ht="38.25" customHeight="1" x14ac:dyDescent="0.25">
      <c r="A12" s="173" t="s">
        <v>14</v>
      </c>
      <c r="B12" s="174" t="s">
        <v>308</v>
      </c>
      <c r="C12" s="188"/>
      <c r="D12" s="174"/>
      <c r="E12" s="174"/>
      <c r="F12" s="174"/>
      <c r="G12" s="188"/>
      <c r="H12" s="174"/>
      <c r="I12" s="316">
        <v>495.3494</v>
      </c>
      <c r="J12" s="316"/>
      <c r="K12" s="313"/>
      <c r="L12" s="316"/>
      <c r="M12" s="313"/>
      <c r="N12" s="316"/>
      <c r="O12" s="313"/>
      <c r="P12" s="316"/>
      <c r="Q12" s="313"/>
      <c r="R12" s="316">
        <v>295607888.10000002</v>
      </c>
      <c r="S12" s="169"/>
      <c r="T12" s="169"/>
      <c r="U12" s="169"/>
      <c r="V12" s="169"/>
      <c r="W12" s="169"/>
      <c r="X12" s="169"/>
      <c r="Y12" s="169"/>
      <c r="Z12" s="171"/>
      <c r="AA12" s="172"/>
      <c r="AB12" s="171"/>
      <c r="AC12" s="172"/>
      <c r="AD12" s="175"/>
      <c r="AE12" s="172"/>
      <c r="AF12" s="175"/>
      <c r="AG12" s="171"/>
      <c r="AH12" s="176">
        <f>SUM(AH13:AH19)</f>
        <v>274493038.94999999</v>
      </c>
      <c r="AI12" s="486" t="s">
        <v>777</v>
      </c>
    </row>
    <row r="13" spans="1:35" s="153" customFormat="1" ht="38.25" x14ac:dyDescent="0.25">
      <c r="A13" s="167"/>
      <c r="B13" s="168" t="s">
        <v>309</v>
      </c>
      <c r="C13" s="170" t="s">
        <v>310</v>
      </c>
      <c r="D13" s="168">
        <v>11</v>
      </c>
      <c r="E13" s="168">
        <v>2</v>
      </c>
      <c r="F13" s="168">
        <v>4</v>
      </c>
      <c r="G13" s="323" t="s">
        <v>311</v>
      </c>
      <c r="H13" s="168">
        <v>44</v>
      </c>
      <c r="I13" s="315">
        <v>30.799999999999997</v>
      </c>
      <c r="J13" s="315">
        <v>200070</v>
      </c>
      <c r="K13" s="312">
        <v>0</v>
      </c>
      <c r="L13" s="315">
        <v>228285</v>
      </c>
      <c r="M13" s="312">
        <v>0</v>
      </c>
      <c r="N13" s="315">
        <v>256500</v>
      </c>
      <c r="O13" s="312">
        <v>30.799999999999997</v>
      </c>
      <c r="P13" s="315">
        <v>284715</v>
      </c>
      <c r="Q13" s="312">
        <v>30.799999999999997</v>
      </c>
      <c r="R13" s="315">
        <v>16669422</v>
      </c>
      <c r="S13" s="169" t="s">
        <v>310</v>
      </c>
      <c r="T13" s="169">
        <f>T10</f>
        <v>11</v>
      </c>
      <c r="U13" s="169">
        <v>2</v>
      </c>
      <c r="V13" s="169">
        <v>4</v>
      </c>
      <c r="W13" s="169" t="s">
        <v>311</v>
      </c>
      <c r="X13" s="169">
        <f>T13*V13</f>
        <v>44</v>
      </c>
      <c r="Y13" s="169">
        <f t="shared" si="0"/>
        <v>22</v>
      </c>
      <c r="Z13" s="171">
        <f>Z11</f>
        <v>260091</v>
      </c>
      <c r="AA13" s="171">
        <v>0</v>
      </c>
      <c r="AB13" s="171">
        <f>AB11</f>
        <v>296770.5</v>
      </c>
      <c r="AC13" s="171">
        <v>0</v>
      </c>
      <c r="AD13" s="171">
        <f>AD11</f>
        <v>333450</v>
      </c>
      <c r="AE13" s="171">
        <f>Y13</f>
        <v>22</v>
      </c>
      <c r="AF13" s="171">
        <f>AF11</f>
        <v>370129.5</v>
      </c>
      <c r="AG13" s="171">
        <f>Y13</f>
        <v>22</v>
      </c>
      <c r="AH13" s="172">
        <f t="shared" ref="AH13:AH19" si="1">AA13*Z13+AC13*AB13+AE13*AD13+AG13*AF13</f>
        <v>15478749</v>
      </c>
      <c r="AI13" s="487"/>
    </row>
    <row r="14" spans="1:35" s="153" customFormat="1" ht="38.25" x14ac:dyDescent="0.25">
      <c r="A14" s="167"/>
      <c r="B14" s="168" t="s">
        <v>312</v>
      </c>
      <c r="C14" s="170" t="s">
        <v>310</v>
      </c>
      <c r="D14" s="168">
        <v>11</v>
      </c>
      <c r="E14" s="168">
        <v>2</v>
      </c>
      <c r="F14" s="168">
        <v>20</v>
      </c>
      <c r="G14" s="323" t="s">
        <v>313</v>
      </c>
      <c r="H14" s="168">
        <v>220</v>
      </c>
      <c r="I14" s="315">
        <v>154</v>
      </c>
      <c r="J14" s="315">
        <v>200070</v>
      </c>
      <c r="K14" s="312">
        <v>0</v>
      </c>
      <c r="L14" s="315">
        <v>228285</v>
      </c>
      <c r="M14" s="312">
        <v>154</v>
      </c>
      <c r="N14" s="315">
        <v>256500</v>
      </c>
      <c r="O14" s="312">
        <v>308</v>
      </c>
      <c r="P14" s="315">
        <v>284715</v>
      </c>
      <c r="Q14" s="312">
        <v>0</v>
      </c>
      <c r="R14" s="315">
        <v>114157890</v>
      </c>
      <c r="S14" s="169" t="s">
        <v>310</v>
      </c>
      <c r="T14" s="169">
        <f>T10</f>
        <v>11</v>
      </c>
      <c r="U14" s="169">
        <v>2</v>
      </c>
      <c r="V14" s="169">
        <v>20</v>
      </c>
      <c r="W14" s="169" t="s">
        <v>313</v>
      </c>
      <c r="X14" s="169">
        <f t="shared" ref="X14:X52" si="2">T14*V14</f>
        <v>220</v>
      </c>
      <c r="Y14" s="169">
        <f t="shared" si="0"/>
        <v>110</v>
      </c>
      <c r="Z14" s="171">
        <f t="shared" ref="Z14:Z19" si="3">Z13</f>
        <v>260091</v>
      </c>
      <c r="AA14" s="171">
        <v>0</v>
      </c>
      <c r="AB14" s="171">
        <f t="shared" ref="AB14:AB19" si="4">AB13</f>
        <v>296770.5</v>
      </c>
      <c r="AC14" s="171">
        <f>Y14</f>
        <v>110</v>
      </c>
      <c r="AD14" s="171">
        <f t="shared" ref="AD14:AD19" si="5">AD13</f>
        <v>333450</v>
      </c>
      <c r="AE14" s="171">
        <f>Y14*2</f>
        <v>220</v>
      </c>
      <c r="AF14" s="171">
        <f t="shared" ref="AF14:AF19" si="6">AF13</f>
        <v>370129.5</v>
      </c>
      <c r="AG14" s="171">
        <v>0</v>
      </c>
      <c r="AH14" s="172">
        <f t="shared" si="1"/>
        <v>106003755</v>
      </c>
      <c r="AI14" s="487"/>
    </row>
    <row r="15" spans="1:35" s="153" customFormat="1" ht="38.25" x14ac:dyDescent="0.25">
      <c r="A15" s="167"/>
      <c r="B15" s="168" t="s">
        <v>314</v>
      </c>
      <c r="C15" s="170" t="s">
        <v>310</v>
      </c>
      <c r="D15" s="168">
        <v>11</v>
      </c>
      <c r="E15" s="168">
        <v>2</v>
      </c>
      <c r="F15" s="168">
        <v>10</v>
      </c>
      <c r="G15" s="323" t="s">
        <v>315</v>
      </c>
      <c r="H15" s="168">
        <v>110</v>
      </c>
      <c r="I15" s="315">
        <v>77</v>
      </c>
      <c r="J15" s="315">
        <v>200070</v>
      </c>
      <c r="K15" s="312">
        <v>0</v>
      </c>
      <c r="L15" s="315">
        <v>228285</v>
      </c>
      <c r="M15" s="312">
        <v>154</v>
      </c>
      <c r="N15" s="315">
        <v>256500</v>
      </c>
      <c r="O15" s="312">
        <v>77</v>
      </c>
      <c r="P15" s="315">
        <v>284715</v>
      </c>
      <c r="Q15" s="312">
        <v>0</v>
      </c>
      <c r="R15" s="315">
        <v>54906390</v>
      </c>
      <c r="S15" s="169" t="s">
        <v>310</v>
      </c>
      <c r="T15" s="169">
        <f>T10</f>
        <v>11</v>
      </c>
      <c r="U15" s="169">
        <v>2</v>
      </c>
      <c r="V15" s="169">
        <v>10</v>
      </c>
      <c r="W15" s="169" t="s">
        <v>315</v>
      </c>
      <c r="X15" s="169">
        <f t="shared" si="2"/>
        <v>110</v>
      </c>
      <c r="Y15" s="169">
        <f t="shared" si="0"/>
        <v>55</v>
      </c>
      <c r="Z15" s="171">
        <f t="shared" si="3"/>
        <v>260091</v>
      </c>
      <c r="AA15" s="171">
        <v>0</v>
      </c>
      <c r="AB15" s="171">
        <f t="shared" si="4"/>
        <v>296770.5</v>
      </c>
      <c r="AC15" s="171">
        <f>Y15*2</f>
        <v>110</v>
      </c>
      <c r="AD15" s="171">
        <f t="shared" si="5"/>
        <v>333450</v>
      </c>
      <c r="AE15" s="171">
        <f>Y15</f>
        <v>55</v>
      </c>
      <c r="AF15" s="171">
        <f t="shared" si="6"/>
        <v>370129.5</v>
      </c>
      <c r="AG15" s="171">
        <v>0</v>
      </c>
      <c r="AH15" s="172">
        <f t="shared" si="1"/>
        <v>50984505</v>
      </c>
      <c r="AI15" s="487"/>
    </row>
    <row r="16" spans="1:35" s="153" customFormat="1" ht="76.5" x14ac:dyDescent="0.25">
      <c r="A16" s="167"/>
      <c r="B16" s="168" t="s">
        <v>316</v>
      </c>
      <c r="C16" s="170" t="s">
        <v>305</v>
      </c>
      <c r="D16" s="168">
        <v>11</v>
      </c>
      <c r="E16" s="168">
        <v>2</v>
      </c>
      <c r="F16" s="168">
        <v>2</v>
      </c>
      <c r="G16" s="323" t="s">
        <v>311</v>
      </c>
      <c r="H16" s="168">
        <v>22</v>
      </c>
      <c r="I16" s="315">
        <v>15.399999999999999</v>
      </c>
      <c r="J16" s="315">
        <v>200070</v>
      </c>
      <c r="K16" s="312">
        <v>0</v>
      </c>
      <c r="L16" s="315">
        <v>228285</v>
      </c>
      <c r="M16" s="312">
        <v>0</v>
      </c>
      <c r="N16" s="315">
        <v>256500</v>
      </c>
      <c r="O16" s="312">
        <v>15.399999999999999</v>
      </c>
      <c r="P16" s="315">
        <v>284715</v>
      </c>
      <c r="Q16" s="312">
        <v>15.399999999999999</v>
      </c>
      <c r="R16" s="315">
        <v>8334711</v>
      </c>
      <c r="S16" s="169" t="s">
        <v>305</v>
      </c>
      <c r="T16" s="169">
        <f>T10</f>
        <v>11</v>
      </c>
      <c r="U16" s="169">
        <v>2</v>
      </c>
      <c r="V16" s="169">
        <v>2</v>
      </c>
      <c r="W16" s="169" t="s">
        <v>311</v>
      </c>
      <c r="X16" s="169">
        <f t="shared" si="2"/>
        <v>22</v>
      </c>
      <c r="Y16" s="169">
        <f t="shared" si="0"/>
        <v>11</v>
      </c>
      <c r="Z16" s="171">
        <f t="shared" si="3"/>
        <v>260091</v>
      </c>
      <c r="AA16" s="171">
        <v>0</v>
      </c>
      <c r="AB16" s="171">
        <f t="shared" si="4"/>
        <v>296770.5</v>
      </c>
      <c r="AC16" s="171">
        <v>0</v>
      </c>
      <c r="AD16" s="171">
        <f t="shared" si="5"/>
        <v>333450</v>
      </c>
      <c r="AE16" s="171">
        <f>Y16</f>
        <v>11</v>
      </c>
      <c r="AF16" s="171">
        <f t="shared" si="6"/>
        <v>370129.5</v>
      </c>
      <c r="AG16" s="171">
        <f>Y16</f>
        <v>11</v>
      </c>
      <c r="AH16" s="172">
        <f t="shared" si="1"/>
        <v>7739374.5</v>
      </c>
      <c r="AI16" s="487"/>
    </row>
    <row r="17" spans="1:35" s="153" customFormat="1" ht="51" x14ac:dyDescent="0.25">
      <c r="A17" s="167"/>
      <c r="B17" s="168" t="s">
        <v>317</v>
      </c>
      <c r="C17" s="170" t="s">
        <v>318</v>
      </c>
      <c r="D17" s="168">
        <v>11</v>
      </c>
      <c r="E17" s="168">
        <v>2</v>
      </c>
      <c r="F17" s="168">
        <v>25</v>
      </c>
      <c r="G17" s="323" t="s">
        <v>319</v>
      </c>
      <c r="H17" s="168">
        <v>275</v>
      </c>
      <c r="I17" s="315">
        <v>192.5</v>
      </c>
      <c r="J17" s="315">
        <v>200070</v>
      </c>
      <c r="K17" s="312">
        <v>192.5</v>
      </c>
      <c r="L17" s="315">
        <v>228285</v>
      </c>
      <c r="M17" s="312">
        <v>192.5</v>
      </c>
      <c r="N17" s="315">
        <v>256500</v>
      </c>
      <c r="O17" s="312">
        <v>0</v>
      </c>
      <c r="P17" s="315">
        <v>284715</v>
      </c>
      <c r="Q17" s="312">
        <v>0</v>
      </c>
      <c r="R17" s="315">
        <v>82458337.5</v>
      </c>
      <c r="S17" s="169" t="s">
        <v>318</v>
      </c>
      <c r="T17" s="169">
        <v>11</v>
      </c>
      <c r="U17" s="169">
        <v>2</v>
      </c>
      <c r="V17" s="169">
        <v>25</v>
      </c>
      <c r="W17" s="169" t="s">
        <v>319</v>
      </c>
      <c r="X17" s="169">
        <f t="shared" si="2"/>
        <v>275</v>
      </c>
      <c r="Y17" s="169">
        <f t="shared" si="0"/>
        <v>137.5</v>
      </c>
      <c r="Z17" s="171">
        <f t="shared" si="3"/>
        <v>260091</v>
      </c>
      <c r="AA17" s="171">
        <f>Y17</f>
        <v>137.5</v>
      </c>
      <c r="AB17" s="171">
        <f t="shared" si="4"/>
        <v>296770.5</v>
      </c>
      <c r="AC17" s="171">
        <f>Y17</f>
        <v>137.5</v>
      </c>
      <c r="AD17" s="171">
        <f t="shared" si="5"/>
        <v>333450</v>
      </c>
      <c r="AE17" s="171">
        <v>0</v>
      </c>
      <c r="AF17" s="171">
        <f t="shared" si="6"/>
        <v>370129.5</v>
      </c>
      <c r="AG17" s="171">
        <v>0</v>
      </c>
      <c r="AH17" s="172">
        <f t="shared" si="1"/>
        <v>76568456.25</v>
      </c>
      <c r="AI17" s="487"/>
    </row>
    <row r="18" spans="1:35" s="153" customFormat="1" ht="38.25" x14ac:dyDescent="0.25">
      <c r="A18" s="167"/>
      <c r="B18" s="168" t="s">
        <v>320</v>
      </c>
      <c r="C18" s="170" t="s">
        <v>318</v>
      </c>
      <c r="D18" s="168">
        <v>11</v>
      </c>
      <c r="E18" s="168" t="s">
        <v>131</v>
      </c>
      <c r="F18" s="168">
        <v>3</v>
      </c>
      <c r="G18" s="323" t="s">
        <v>321</v>
      </c>
      <c r="H18" s="168">
        <v>33</v>
      </c>
      <c r="I18" s="315">
        <v>23.099999999999998</v>
      </c>
      <c r="J18" s="315">
        <v>200070</v>
      </c>
      <c r="K18" s="312">
        <v>0</v>
      </c>
      <c r="L18" s="315">
        <v>228285</v>
      </c>
      <c r="M18" s="312">
        <v>0</v>
      </c>
      <c r="N18" s="315">
        <v>256500</v>
      </c>
      <c r="O18" s="312">
        <v>46.199999999999996</v>
      </c>
      <c r="P18" s="315">
        <v>284715</v>
      </c>
      <c r="Q18" s="312">
        <v>23.099999999999998</v>
      </c>
      <c r="R18" s="315">
        <v>18427216.499999996</v>
      </c>
      <c r="S18" s="169" t="s">
        <v>318</v>
      </c>
      <c r="T18" s="169">
        <f>T17</f>
        <v>11</v>
      </c>
      <c r="U18" s="170" t="s">
        <v>131</v>
      </c>
      <c r="V18" s="169">
        <v>3</v>
      </c>
      <c r="W18" s="169" t="s">
        <v>321</v>
      </c>
      <c r="X18" s="169">
        <f t="shared" si="2"/>
        <v>33</v>
      </c>
      <c r="Y18" s="169">
        <f t="shared" si="0"/>
        <v>16.5</v>
      </c>
      <c r="Z18" s="171">
        <f t="shared" si="3"/>
        <v>260091</v>
      </c>
      <c r="AA18" s="171">
        <v>0</v>
      </c>
      <c r="AB18" s="171">
        <f t="shared" si="4"/>
        <v>296770.5</v>
      </c>
      <c r="AC18" s="171">
        <v>0</v>
      </c>
      <c r="AD18" s="171">
        <f t="shared" si="5"/>
        <v>333450</v>
      </c>
      <c r="AE18" s="171">
        <f>Y18*2</f>
        <v>33</v>
      </c>
      <c r="AF18" s="171">
        <f t="shared" si="6"/>
        <v>370129.5</v>
      </c>
      <c r="AG18" s="171">
        <f>Y18</f>
        <v>16.5</v>
      </c>
      <c r="AH18" s="172">
        <f t="shared" si="1"/>
        <v>17110986.75</v>
      </c>
      <c r="AI18" s="487"/>
    </row>
    <row r="19" spans="1:35" s="153" customFormat="1" ht="25.5" x14ac:dyDescent="0.25">
      <c r="A19" s="167"/>
      <c r="B19" s="168" t="s">
        <v>322</v>
      </c>
      <c r="C19" s="170" t="s">
        <v>310</v>
      </c>
      <c r="D19" s="168">
        <v>18.21</v>
      </c>
      <c r="E19" s="168" t="s">
        <v>131</v>
      </c>
      <c r="F19" s="168">
        <v>0.2</v>
      </c>
      <c r="G19" s="323" t="s">
        <v>323</v>
      </c>
      <c r="H19" s="168">
        <v>3.6420000000000003</v>
      </c>
      <c r="I19" s="315">
        <v>2.5493999999999999</v>
      </c>
      <c r="J19" s="315">
        <v>200070</v>
      </c>
      <c r="K19" s="312">
        <v>0</v>
      </c>
      <c r="L19" s="315">
        <v>228285</v>
      </c>
      <c r="M19" s="312">
        <v>0</v>
      </c>
      <c r="N19" s="315">
        <v>256500</v>
      </c>
      <c r="O19" s="312">
        <v>2.5493999999999999</v>
      </c>
      <c r="P19" s="315">
        <v>284715</v>
      </c>
      <c r="Q19" s="312">
        <v>0</v>
      </c>
      <c r="R19" s="315">
        <v>653921.1</v>
      </c>
      <c r="S19" s="169" t="s">
        <v>310</v>
      </c>
      <c r="T19" s="177">
        <f>QuydoiDTQL!K27</f>
        <v>18.21</v>
      </c>
      <c r="U19" s="170" t="s">
        <v>131</v>
      </c>
      <c r="V19" s="169">
        <v>0.2</v>
      </c>
      <c r="W19" s="169" t="s">
        <v>323</v>
      </c>
      <c r="X19" s="169">
        <f t="shared" si="2"/>
        <v>3.6420000000000003</v>
      </c>
      <c r="Y19" s="169">
        <f t="shared" si="0"/>
        <v>1.8210000000000002</v>
      </c>
      <c r="Z19" s="171">
        <f t="shared" si="3"/>
        <v>260091</v>
      </c>
      <c r="AA19" s="171">
        <v>0</v>
      </c>
      <c r="AB19" s="171">
        <f t="shared" si="4"/>
        <v>296770.5</v>
      </c>
      <c r="AC19" s="171">
        <v>0</v>
      </c>
      <c r="AD19" s="171">
        <f t="shared" si="5"/>
        <v>333450</v>
      </c>
      <c r="AE19" s="171">
        <f>Y19</f>
        <v>1.8210000000000002</v>
      </c>
      <c r="AF19" s="171">
        <f t="shared" si="6"/>
        <v>370129.5</v>
      </c>
      <c r="AG19" s="171">
        <v>0</v>
      </c>
      <c r="AH19" s="172">
        <f t="shared" si="1"/>
        <v>607212.45000000007</v>
      </c>
      <c r="AI19" s="488"/>
    </row>
    <row r="20" spans="1:35" s="153" customFormat="1" ht="25.5" x14ac:dyDescent="0.25">
      <c r="A20" s="156">
        <v>2</v>
      </c>
      <c r="B20" s="178" t="s">
        <v>324</v>
      </c>
      <c r="C20" s="181"/>
      <c r="D20" s="178"/>
      <c r="E20" s="178"/>
      <c r="F20" s="178"/>
      <c r="G20" s="181"/>
      <c r="H20" s="178"/>
      <c r="I20" s="317">
        <v>447.18100000000004</v>
      </c>
      <c r="J20" s="317"/>
      <c r="K20" s="314"/>
      <c r="L20" s="317"/>
      <c r="M20" s="314"/>
      <c r="N20" s="317"/>
      <c r="O20" s="314"/>
      <c r="P20" s="317"/>
      <c r="Q20" s="314"/>
      <c r="R20" s="317">
        <v>270440867.33999997</v>
      </c>
      <c r="S20" s="169"/>
      <c r="T20" s="169"/>
      <c r="U20" s="169"/>
      <c r="V20" s="169"/>
      <c r="W20" s="169"/>
      <c r="X20" s="169"/>
      <c r="Y20" s="169"/>
      <c r="Z20" s="171"/>
      <c r="AA20" s="172"/>
      <c r="AB20" s="171"/>
      <c r="AC20" s="172"/>
      <c r="AD20" s="179"/>
      <c r="AE20" s="172"/>
      <c r="AF20" s="175"/>
      <c r="AG20" s="171"/>
      <c r="AH20" s="180">
        <f>AH21+AH22+AH23</f>
        <v>251123662.53000003</v>
      </c>
      <c r="AI20" s="162"/>
    </row>
    <row r="21" spans="1:35" s="153" customFormat="1" ht="40.5" x14ac:dyDescent="0.25">
      <c r="A21" s="173" t="s">
        <v>325</v>
      </c>
      <c r="B21" s="174" t="s">
        <v>326</v>
      </c>
      <c r="C21" s="188" t="s">
        <v>318</v>
      </c>
      <c r="D21" s="174">
        <v>11</v>
      </c>
      <c r="E21" s="174">
        <v>2</v>
      </c>
      <c r="F21" s="174">
        <v>20</v>
      </c>
      <c r="G21" s="188" t="s">
        <v>327</v>
      </c>
      <c r="H21" s="174">
        <v>220</v>
      </c>
      <c r="I21" s="316">
        <v>154</v>
      </c>
      <c r="J21" s="316">
        <v>200070</v>
      </c>
      <c r="K21" s="313">
        <v>0</v>
      </c>
      <c r="L21" s="316">
        <v>228285</v>
      </c>
      <c r="M21" s="313">
        <v>154</v>
      </c>
      <c r="N21" s="316">
        <v>256500</v>
      </c>
      <c r="O21" s="313">
        <v>154</v>
      </c>
      <c r="P21" s="316">
        <v>284715</v>
      </c>
      <c r="Q21" s="313">
        <v>0</v>
      </c>
      <c r="R21" s="316">
        <v>74656890</v>
      </c>
      <c r="S21" s="169" t="s">
        <v>318</v>
      </c>
      <c r="T21" s="169">
        <f>T17</f>
        <v>11</v>
      </c>
      <c r="U21" s="169">
        <v>2</v>
      </c>
      <c r="V21" s="169">
        <v>20</v>
      </c>
      <c r="W21" s="169" t="s">
        <v>327</v>
      </c>
      <c r="X21" s="169">
        <f t="shared" si="2"/>
        <v>220</v>
      </c>
      <c r="Y21" s="169">
        <f t="shared" si="0"/>
        <v>110</v>
      </c>
      <c r="Z21" s="171">
        <f>Z19</f>
        <v>260091</v>
      </c>
      <c r="AA21" s="171">
        <v>0</v>
      </c>
      <c r="AB21" s="171">
        <f>AB19</f>
        <v>296770.5</v>
      </c>
      <c r="AC21" s="171">
        <f>Y21</f>
        <v>110</v>
      </c>
      <c r="AD21" s="171">
        <f>AD19</f>
        <v>333450</v>
      </c>
      <c r="AE21" s="171">
        <f>Y21</f>
        <v>110</v>
      </c>
      <c r="AF21" s="171">
        <f>AF19</f>
        <v>370129.5</v>
      </c>
      <c r="AG21" s="171">
        <v>0</v>
      </c>
      <c r="AH21" s="172">
        <f>AA21*Z21+AC21*AB21+AE21*AD21+AG21*AF21</f>
        <v>69324255</v>
      </c>
      <c r="AI21" s="486" t="s">
        <v>779</v>
      </c>
    </row>
    <row r="22" spans="1:35" s="153" customFormat="1" ht="38.25" x14ac:dyDescent="0.25">
      <c r="A22" s="173" t="s">
        <v>328</v>
      </c>
      <c r="B22" s="174" t="s">
        <v>324</v>
      </c>
      <c r="C22" s="188" t="s">
        <v>310</v>
      </c>
      <c r="D22" s="174">
        <v>18.21</v>
      </c>
      <c r="E22" s="174">
        <v>2</v>
      </c>
      <c r="F22" s="174">
        <v>18</v>
      </c>
      <c r="G22" s="188" t="s">
        <v>321</v>
      </c>
      <c r="H22" s="174">
        <v>327.78000000000003</v>
      </c>
      <c r="I22" s="316">
        <v>229.446</v>
      </c>
      <c r="J22" s="316">
        <v>200070</v>
      </c>
      <c r="K22" s="313">
        <v>0</v>
      </c>
      <c r="L22" s="316">
        <v>228285</v>
      </c>
      <c r="M22" s="313">
        <v>0</v>
      </c>
      <c r="N22" s="316">
        <v>256500</v>
      </c>
      <c r="O22" s="313">
        <v>458.892</v>
      </c>
      <c r="P22" s="316">
        <v>284715</v>
      </c>
      <c r="Q22" s="313">
        <v>229.446</v>
      </c>
      <c r="R22" s="316">
        <v>183032515.88999999</v>
      </c>
      <c r="S22" s="169" t="s">
        <v>310</v>
      </c>
      <c r="T22" s="177">
        <f>T19</f>
        <v>18.21</v>
      </c>
      <c r="U22" s="169">
        <v>2</v>
      </c>
      <c r="V22" s="169">
        <v>18</v>
      </c>
      <c r="W22" s="169" t="s">
        <v>321</v>
      </c>
      <c r="X22" s="169">
        <f t="shared" si="2"/>
        <v>327.78000000000003</v>
      </c>
      <c r="Y22" s="169">
        <f t="shared" si="0"/>
        <v>163.89000000000001</v>
      </c>
      <c r="Z22" s="171">
        <f>Z21</f>
        <v>260091</v>
      </c>
      <c r="AA22" s="171">
        <v>0</v>
      </c>
      <c r="AB22" s="171">
        <f>AB21</f>
        <v>296770.5</v>
      </c>
      <c r="AC22" s="171">
        <v>0</v>
      </c>
      <c r="AD22" s="171">
        <f>AD21</f>
        <v>333450</v>
      </c>
      <c r="AE22" s="171">
        <f>Y22*2</f>
        <v>327.78000000000003</v>
      </c>
      <c r="AF22" s="171">
        <f>AF21</f>
        <v>370129.5</v>
      </c>
      <c r="AG22" s="171">
        <f>Y22</f>
        <v>163.89000000000001</v>
      </c>
      <c r="AH22" s="172">
        <f>AA22*Z22+AC22*AB22+AE22*AD22+AG22*AF22</f>
        <v>169958764.75500003</v>
      </c>
      <c r="AI22" s="487"/>
    </row>
    <row r="23" spans="1:35" s="153" customFormat="1" ht="40.5" x14ac:dyDescent="0.25">
      <c r="A23" s="173" t="s">
        <v>329</v>
      </c>
      <c r="B23" s="174" t="s">
        <v>330</v>
      </c>
      <c r="C23" s="188" t="s">
        <v>310</v>
      </c>
      <c r="D23" s="174">
        <v>18.21</v>
      </c>
      <c r="E23" s="174">
        <v>2</v>
      </c>
      <c r="F23" s="174">
        <v>5</v>
      </c>
      <c r="G23" s="188" t="s">
        <v>331</v>
      </c>
      <c r="H23" s="174">
        <v>91.050000000000011</v>
      </c>
      <c r="I23" s="316">
        <v>63.735000000000007</v>
      </c>
      <c r="J23" s="316">
        <v>200070</v>
      </c>
      <c r="K23" s="313">
        <v>63.735000000000007</v>
      </c>
      <c r="L23" s="316">
        <v>228285</v>
      </c>
      <c r="M23" s="313">
        <v>0</v>
      </c>
      <c r="N23" s="316">
        <v>256500</v>
      </c>
      <c r="O23" s="313">
        <v>0</v>
      </c>
      <c r="P23" s="316">
        <v>284715</v>
      </c>
      <c r="Q23" s="313">
        <v>0</v>
      </c>
      <c r="R23" s="316">
        <v>12751461.450000001</v>
      </c>
      <c r="S23" s="169" t="s">
        <v>310</v>
      </c>
      <c r="T23" s="177">
        <f>T19</f>
        <v>18.21</v>
      </c>
      <c r="U23" s="169">
        <v>2</v>
      </c>
      <c r="V23" s="169">
        <v>5</v>
      </c>
      <c r="W23" s="169" t="s">
        <v>331</v>
      </c>
      <c r="X23" s="169">
        <f t="shared" si="2"/>
        <v>91.050000000000011</v>
      </c>
      <c r="Y23" s="169">
        <f t="shared" si="0"/>
        <v>45.525000000000006</v>
      </c>
      <c r="Z23" s="171">
        <f>Z22</f>
        <v>260091</v>
      </c>
      <c r="AA23" s="171">
        <f>Y23</f>
        <v>45.525000000000006</v>
      </c>
      <c r="AB23" s="171">
        <f>AB22</f>
        <v>296770.5</v>
      </c>
      <c r="AC23" s="171">
        <v>0</v>
      </c>
      <c r="AD23" s="171">
        <f>AD22</f>
        <v>333450</v>
      </c>
      <c r="AE23" s="171">
        <v>0</v>
      </c>
      <c r="AF23" s="171">
        <f>AF22</f>
        <v>370129.5</v>
      </c>
      <c r="AG23" s="171">
        <v>0</v>
      </c>
      <c r="AH23" s="172">
        <f>AA23*Z23+AC23*AB23+AE23*AD23+AG23*AF23</f>
        <v>11840642.775000002</v>
      </c>
      <c r="AI23" s="488"/>
    </row>
    <row r="24" spans="1:35" s="185" customFormat="1" ht="38.25" x14ac:dyDescent="0.25">
      <c r="A24" s="156">
        <v>3</v>
      </c>
      <c r="B24" s="178" t="s">
        <v>332</v>
      </c>
      <c r="C24" s="181"/>
      <c r="D24" s="178"/>
      <c r="E24" s="178"/>
      <c r="F24" s="178"/>
      <c r="G24" s="181"/>
      <c r="H24" s="178"/>
      <c r="I24" s="317">
        <v>229.44600000000003</v>
      </c>
      <c r="J24" s="317"/>
      <c r="K24" s="314"/>
      <c r="L24" s="317"/>
      <c r="M24" s="314"/>
      <c r="N24" s="317"/>
      <c r="O24" s="314"/>
      <c r="P24" s="317"/>
      <c r="Q24" s="314"/>
      <c r="R24" s="317">
        <v>98284341.330000013</v>
      </c>
      <c r="S24" s="181"/>
      <c r="T24" s="181"/>
      <c r="U24" s="181"/>
      <c r="V24" s="181"/>
      <c r="W24" s="181"/>
      <c r="X24" s="169"/>
      <c r="Y24" s="169"/>
      <c r="Z24" s="171"/>
      <c r="AA24" s="182"/>
      <c r="AB24" s="171"/>
      <c r="AC24" s="182"/>
      <c r="AD24" s="183"/>
      <c r="AE24" s="182"/>
      <c r="AF24" s="183"/>
      <c r="AG24" s="182"/>
      <c r="AH24" s="184">
        <f>SUM(AH25:AH26)</f>
        <v>91264031.235000014</v>
      </c>
      <c r="AI24" s="486" t="s">
        <v>780</v>
      </c>
    </row>
    <row r="25" spans="1:35" s="153" customFormat="1" ht="38.25" x14ac:dyDescent="0.25">
      <c r="A25" s="173" t="s">
        <v>333</v>
      </c>
      <c r="B25" s="174" t="s">
        <v>334</v>
      </c>
      <c r="C25" s="188" t="s">
        <v>310</v>
      </c>
      <c r="D25" s="174">
        <v>18.21</v>
      </c>
      <c r="E25" s="174" t="s">
        <v>131</v>
      </c>
      <c r="F25" s="174">
        <v>10</v>
      </c>
      <c r="G25" s="188" t="s">
        <v>319</v>
      </c>
      <c r="H25" s="174">
        <v>182.10000000000002</v>
      </c>
      <c r="I25" s="316">
        <v>127.47000000000001</v>
      </c>
      <c r="J25" s="316">
        <v>200070</v>
      </c>
      <c r="K25" s="313">
        <v>127.47000000000001</v>
      </c>
      <c r="L25" s="316">
        <v>228285</v>
      </c>
      <c r="M25" s="313">
        <v>127.47000000000001</v>
      </c>
      <c r="N25" s="316">
        <v>256500</v>
      </c>
      <c r="O25" s="313">
        <v>0</v>
      </c>
      <c r="P25" s="316">
        <v>284715</v>
      </c>
      <c r="Q25" s="313">
        <v>0</v>
      </c>
      <c r="R25" s="316">
        <v>54602411.850000009</v>
      </c>
      <c r="S25" s="169" t="s">
        <v>310</v>
      </c>
      <c r="T25" s="177">
        <f>T19</f>
        <v>18.21</v>
      </c>
      <c r="U25" s="170" t="s">
        <v>131</v>
      </c>
      <c r="V25" s="169">
        <v>10</v>
      </c>
      <c r="W25" s="169" t="s">
        <v>319</v>
      </c>
      <c r="X25" s="169">
        <f t="shared" si="2"/>
        <v>182.10000000000002</v>
      </c>
      <c r="Y25" s="169">
        <f t="shared" si="0"/>
        <v>91.050000000000011</v>
      </c>
      <c r="Z25" s="171">
        <f>Z23</f>
        <v>260091</v>
      </c>
      <c r="AA25" s="171">
        <f>Y25</f>
        <v>91.050000000000011</v>
      </c>
      <c r="AB25" s="171">
        <f>AB23</f>
        <v>296770.5</v>
      </c>
      <c r="AC25" s="171">
        <f>Y25</f>
        <v>91.050000000000011</v>
      </c>
      <c r="AD25" s="171">
        <f>AD23</f>
        <v>333450</v>
      </c>
      <c r="AE25" s="171">
        <v>0</v>
      </c>
      <c r="AF25" s="171">
        <f>AF23</f>
        <v>370129.5</v>
      </c>
      <c r="AG25" s="171">
        <v>0</v>
      </c>
      <c r="AH25" s="172">
        <f>AA25*Z25+AC25*AB25+AE25*AD25+AG25*AF25</f>
        <v>50702239.575000003</v>
      </c>
      <c r="AI25" s="487"/>
    </row>
    <row r="26" spans="1:35" s="153" customFormat="1" ht="38.25" x14ac:dyDescent="0.25">
      <c r="A26" s="173" t="s">
        <v>335</v>
      </c>
      <c r="B26" s="174" t="s">
        <v>336</v>
      </c>
      <c r="C26" s="188" t="s">
        <v>310</v>
      </c>
      <c r="D26" s="174">
        <v>18.21</v>
      </c>
      <c r="E26" s="174" t="s">
        <v>131</v>
      </c>
      <c r="F26" s="174">
        <v>8</v>
      </c>
      <c r="G26" s="188" t="s">
        <v>319</v>
      </c>
      <c r="H26" s="174">
        <v>145.68</v>
      </c>
      <c r="I26" s="316">
        <v>101.976</v>
      </c>
      <c r="J26" s="316">
        <v>200070</v>
      </c>
      <c r="K26" s="313">
        <v>101.976</v>
      </c>
      <c r="L26" s="316">
        <v>228285</v>
      </c>
      <c r="M26" s="313">
        <v>101.976</v>
      </c>
      <c r="N26" s="316">
        <v>256500</v>
      </c>
      <c r="O26" s="313">
        <v>0</v>
      </c>
      <c r="P26" s="316">
        <v>284715</v>
      </c>
      <c r="Q26" s="313">
        <v>0</v>
      </c>
      <c r="R26" s="316">
        <v>43681929.480000004</v>
      </c>
      <c r="S26" s="169" t="s">
        <v>310</v>
      </c>
      <c r="T26" s="177">
        <f>T19</f>
        <v>18.21</v>
      </c>
      <c r="U26" s="170" t="s">
        <v>131</v>
      </c>
      <c r="V26" s="169">
        <v>8</v>
      </c>
      <c r="W26" s="169" t="s">
        <v>319</v>
      </c>
      <c r="X26" s="169">
        <f t="shared" si="2"/>
        <v>145.68</v>
      </c>
      <c r="Y26" s="169">
        <f t="shared" si="0"/>
        <v>72.84</v>
      </c>
      <c r="Z26" s="171">
        <f>Z25</f>
        <v>260091</v>
      </c>
      <c r="AA26" s="171">
        <f>Y26</f>
        <v>72.84</v>
      </c>
      <c r="AB26" s="171">
        <f>AB25</f>
        <v>296770.5</v>
      </c>
      <c r="AC26" s="171">
        <f>Y26</f>
        <v>72.84</v>
      </c>
      <c r="AD26" s="171">
        <f>AD25</f>
        <v>333450</v>
      </c>
      <c r="AE26" s="171">
        <v>0</v>
      </c>
      <c r="AF26" s="171">
        <f>AF25</f>
        <v>370129.5</v>
      </c>
      <c r="AG26" s="171">
        <v>0</v>
      </c>
      <c r="AH26" s="172">
        <f>AA26*Z26+AC26*AB26+AE26*AD26+AG26*AF26</f>
        <v>40561791.660000004</v>
      </c>
      <c r="AI26" s="488"/>
    </row>
    <row r="27" spans="1:35" s="185" customFormat="1" ht="25.5" x14ac:dyDescent="0.25">
      <c r="A27" s="156">
        <v>4</v>
      </c>
      <c r="B27" s="178" t="s">
        <v>337</v>
      </c>
      <c r="C27" s="181"/>
      <c r="D27" s="178"/>
      <c r="E27" s="178"/>
      <c r="F27" s="178"/>
      <c r="G27" s="181"/>
      <c r="H27" s="178"/>
      <c r="I27" s="317">
        <v>497.28140000000002</v>
      </c>
      <c r="J27" s="317"/>
      <c r="K27" s="314"/>
      <c r="L27" s="317"/>
      <c r="M27" s="314"/>
      <c r="N27" s="317"/>
      <c r="O27" s="314"/>
      <c r="P27" s="317"/>
      <c r="Q27" s="314"/>
      <c r="R27" s="317">
        <v>148966092.19799995</v>
      </c>
      <c r="S27" s="181"/>
      <c r="T27" s="181"/>
      <c r="U27" s="181"/>
      <c r="V27" s="181"/>
      <c r="W27" s="181"/>
      <c r="X27" s="169"/>
      <c r="Y27" s="169">
        <f t="shared" si="0"/>
        <v>0</v>
      </c>
      <c r="Z27" s="171"/>
      <c r="AA27" s="182"/>
      <c r="AB27" s="171"/>
      <c r="AC27" s="182"/>
      <c r="AD27" s="183"/>
      <c r="AE27" s="182"/>
      <c r="AF27" s="183"/>
      <c r="AG27" s="182"/>
      <c r="AH27" s="184">
        <f>AH28+AH32+AH35</f>
        <v>131402684.8485</v>
      </c>
      <c r="AI27" s="162"/>
    </row>
    <row r="28" spans="1:35" s="153" customFormat="1" ht="38.25" customHeight="1" x14ac:dyDescent="0.25">
      <c r="A28" s="173" t="s">
        <v>338</v>
      </c>
      <c r="B28" s="174" t="s">
        <v>339</v>
      </c>
      <c r="C28" s="188"/>
      <c r="D28" s="174"/>
      <c r="E28" s="174"/>
      <c r="F28" s="174"/>
      <c r="G28" s="188"/>
      <c r="H28" s="174"/>
      <c r="I28" s="316">
        <v>458.5</v>
      </c>
      <c r="J28" s="316"/>
      <c r="K28" s="313"/>
      <c r="L28" s="316"/>
      <c r="M28" s="313"/>
      <c r="N28" s="316"/>
      <c r="O28" s="313"/>
      <c r="P28" s="316"/>
      <c r="Q28" s="313"/>
      <c r="R28" s="316">
        <v>141207097.49999997</v>
      </c>
      <c r="S28" s="169"/>
      <c r="T28" s="169"/>
      <c r="U28" s="169"/>
      <c r="V28" s="169"/>
      <c r="W28" s="169"/>
      <c r="X28" s="169"/>
      <c r="Y28" s="169">
        <f t="shared" si="0"/>
        <v>0</v>
      </c>
      <c r="Z28" s="171"/>
      <c r="AA28" s="171"/>
      <c r="AB28" s="171"/>
      <c r="AC28" s="171"/>
      <c r="AD28" s="186"/>
      <c r="AE28" s="171"/>
      <c r="AF28" s="186"/>
      <c r="AG28" s="171"/>
      <c r="AH28" s="187">
        <f>AH29+AH30+AH31</f>
        <v>131120876.25</v>
      </c>
      <c r="AI28" s="486" t="s">
        <v>781</v>
      </c>
    </row>
    <row r="29" spans="1:35" s="153" customFormat="1" ht="25.5" x14ac:dyDescent="0.25">
      <c r="A29" s="167"/>
      <c r="B29" s="168" t="s">
        <v>340</v>
      </c>
      <c r="C29" s="170" t="s">
        <v>305</v>
      </c>
      <c r="D29" s="168">
        <v>11</v>
      </c>
      <c r="E29" s="168">
        <v>2</v>
      </c>
      <c r="F29" s="168">
        <v>30</v>
      </c>
      <c r="G29" s="323" t="s">
        <v>341</v>
      </c>
      <c r="H29" s="168">
        <v>330</v>
      </c>
      <c r="I29" s="315">
        <v>230.99999999999997</v>
      </c>
      <c r="J29" s="315">
        <v>200070</v>
      </c>
      <c r="K29" s="312">
        <v>461.99999999999994</v>
      </c>
      <c r="L29" s="315">
        <v>228285</v>
      </c>
      <c r="M29" s="312">
        <v>0</v>
      </c>
      <c r="N29" s="315">
        <v>256500</v>
      </c>
      <c r="O29" s="312">
        <v>0</v>
      </c>
      <c r="P29" s="315">
        <v>284715</v>
      </c>
      <c r="Q29" s="312">
        <v>0</v>
      </c>
      <c r="R29" s="315">
        <v>92432339.999999985</v>
      </c>
      <c r="S29" s="169" t="s">
        <v>305</v>
      </c>
      <c r="T29" s="169">
        <f>T10</f>
        <v>11</v>
      </c>
      <c r="U29" s="169">
        <v>2</v>
      </c>
      <c r="V29" s="169">
        <v>30</v>
      </c>
      <c r="W29" s="169" t="s">
        <v>341</v>
      </c>
      <c r="X29" s="169">
        <f t="shared" si="2"/>
        <v>330</v>
      </c>
      <c r="Y29" s="169">
        <f t="shared" si="0"/>
        <v>165</v>
      </c>
      <c r="Z29" s="171">
        <f>Z26</f>
        <v>260091</v>
      </c>
      <c r="AA29" s="171">
        <f>2*Y29</f>
        <v>330</v>
      </c>
      <c r="AB29" s="171">
        <f>AB26</f>
        <v>296770.5</v>
      </c>
      <c r="AC29" s="171">
        <v>0</v>
      </c>
      <c r="AD29" s="171">
        <f>AD26</f>
        <v>333450</v>
      </c>
      <c r="AE29" s="171">
        <v>0</v>
      </c>
      <c r="AF29" s="171">
        <f>AF26</f>
        <v>370129.5</v>
      </c>
      <c r="AG29" s="171">
        <v>0</v>
      </c>
      <c r="AH29" s="172">
        <f>AA29*Z29+AC29*AB29+AE29*AD29+AG29*AF29</f>
        <v>85830030</v>
      </c>
      <c r="AI29" s="487"/>
    </row>
    <row r="30" spans="1:35" s="153" customFormat="1" ht="51" x14ac:dyDescent="0.25">
      <c r="A30" s="167"/>
      <c r="B30" s="168" t="s">
        <v>342</v>
      </c>
      <c r="C30" s="170" t="s">
        <v>343</v>
      </c>
      <c r="D30" s="168">
        <v>5</v>
      </c>
      <c r="E30" s="168">
        <v>1</v>
      </c>
      <c r="F30" s="168">
        <v>32</v>
      </c>
      <c r="G30" s="323" t="s">
        <v>331</v>
      </c>
      <c r="H30" s="168">
        <v>160</v>
      </c>
      <c r="I30" s="315">
        <v>112</v>
      </c>
      <c r="J30" s="315">
        <v>200070</v>
      </c>
      <c r="K30" s="312">
        <v>112</v>
      </c>
      <c r="L30" s="315">
        <v>228285</v>
      </c>
      <c r="M30" s="312">
        <v>0</v>
      </c>
      <c r="N30" s="315">
        <v>256500</v>
      </c>
      <c r="O30" s="312">
        <v>0</v>
      </c>
      <c r="P30" s="315">
        <v>284715</v>
      </c>
      <c r="Q30" s="312">
        <v>0</v>
      </c>
      <c r="R30" s="315">
        <v>22407840</v>
      </c>
      <c r="S30" s="169" t="s">
        <v>343</v>
      </c>
      <c r="T30" s="169">
        <v>5</v>
      </c>
      <c r="U30" s="169">
        <v>1</v>
      </c>
      <c r="V30" s="169">
        <v>32</v>
      </c>
      <c r="W30" s="169" t="s">
        <v>331</v>
      </c>
      <c r="X30" s="169">
        <f t="shared" si="2"/>
        <v>160</v>
      </c>
      <c r="Y30" s="169">
        <f t="shared" si="0"/>
        <v>80</v>
      </c>
      <c r="Z30" s="171">
        <f>Z29</f>
        <v>260091</v>
      </c>
      <c r="AA30" s="171">
        <f>Y30</f>
        <v>80</v>
      </c>
      <c r="AB30" s="171">
        <f>AB29</f>
        <v>296770.5</v>
      </c>
      <c r="AC30" s="171">
        <v>0</v>
      </c>
      <c r="AD30" s="171">
        <f>AD29</f>
        <v>333450</v>
      </c>
      <c r="AE30" s="171">
        <v>0</v>
      </c>
      <c r="AF30" s="171">
        <f>AF29</f>
        <v>370129.5</v>
      </c>
      <c r="AG30" s="171">
        <v>0</v>
      </c>
      <c r="AH30" s="172">
        <f>AA30*Z30+AC30*AB30+AE30*AD30+AG30*AF30</f>
        <v>20807280</v>
      </c>
      <c r="AI30" s="487"/>
    </row>
    <row r="31" spans="1:35" s="153" customFormat="1" ht="38.25" x14ac:dyDescent="0.25">
      <c r="A31" s="167"/>
      <c r="B31" s="168" t="s">
        <v>344</v>
      </c>
      <c r="C31" s="170" t="s">
        <v>343</v>
      </c>
      <c r="D31" s="168">
        <v>11</v>
      </c>
      <c r="E31" s="168">
        <v>2</v>
      </c>
      <c r="F31" s="168">
        <v>15</v>
      </c>
      <c r="G31" s="323" t="s">
        <v>306</v>
      </c>
      <c r="H31" s="168">
        <v>165</v>
      </c>
      <c r="I31" s="315">
        <v>115.49999999999999</v>
      </c>
      <c r="J31" s="315">
        <v>200070</v>
      </c>
      <c r="K31" s="312">
        <v>0</v>
      </c>
      <c r="L31" s="315">
        <v>228285</v>
      </c>
      <c r="M31" s="312">
        <v>115.49999999999999</v>
      </c>
      <c r="N31" s="315">
        <v>256500</v>
      </c>
      <c r="O31" s="312">
        <v>0</v>
      </c>
      <c r="P31" s="315">
        <v>284715</v>
      </c>
      <c r="Q31" s="312">
        <v>0</v>
      </c>
      <c r="R31" s="315">
        <v>26366917.499999996</v>
      </c>
      <c r="S31" s="169" t="s">
        <v>343</v>
      </c>
      <c r="T31" s="169">
        <f>T29</f>
        <v>11</v>
      </c>
      <c r="U31" s="169">
        <v>2</v>
      </c>
      <c r="V31" s="169">
        <v>15</v>
      </c>
      <c r="W31" s="169" t="s">
        <v>306</v>
      </c>
      <c r="X31" s="169">
        <f t="shared" si="2"/>
        <v>165</v>
      </c>
      <c r="Y31" s="169">
        <f t="shared" si="0"/>
        <v>82.5</v>
      </c>
      <c r="Z31" s="171">
        <f>Z30</f>
        <v>260091</v>
      </c>
      <c r="AA31" s="171">
        <v>0</v>
      </c>
      <c r="AB31" s="171">
        <f>AB30</f>
        <v>296770.5</v>
      </c>
      <c r="AC31" s="171">
        <f>Y31</f>
        <v>82.5</v>
      </c>
      <c r="AD31" s="171">
        <f>AD30</f>
        <v>333450</v>
      </c>
      <c r="AE31" s="171">
        <v>0</v>
      </c>
      <c r="AF31" s="171">
        <f>AF30</f>
        <v>370129.5</v>
      </c>
      <c r="AG31" s="171">
        <v>0</v>
      </c>
      <c r="AH31" s="172">
        <f>AA31*Z31+AC31*AB31+AE31*AD31+AG31*AF31</f>
        <v>24483566.25</v>
      </c>
      <c r="AI31" s="488"/>
    </row>
    <row r="32" spans="1:35" s="191" customFormat="1" ht="25.5" customHeight="1" x14ac:dyDescent="0.25">
      <c r="A32" s="163" t="s">
        <v>345</v>
      </c>
      <c r="B32" s="174" t="s">
        <v>346</v>
      </c>
      <c r="C32" s="188"/>
      <c r="D32" s="174"/>
      <c r="E32" s="174"/>
      <c r="F32" s="174"/>
      <c r="G32" s="188"/>
      <c r="H32" s="174"/>
      <c r="I32" s="316">
        <v>37.484999999999999</v>
      </c>
      <c r="J32" s="316"/>
      <c r="K32" s="313"/>
      <c r="L32" s="316"/>
      <c r="M32" s="313"/>
      <c r="N32" s="316"/>
      <c r="O32" s="313"/>
      <c r="P32" s="316"/>
      <c r="Q32" s="313"/>
      <c r="R32" s="316">
        <v>7499623.9500000002</v>
      </c>
      <c r="S32" s="188"/>
      <c r="T32" s="188"/>
      <c r="U32" s="188"/>
      <c r="V32" s="188"/>
      <c r="W32" s="188"/>
      <c r="X32" s="169"/>
      <c r="Y32" s="169"/>
      <c r="Z32" s="171"/>
      <c r="AA32" s="189"/>
      <c r="AB32" s="171"/>
      <c r="AC32" s="189"/>
      <c r="AD32" s="190"/>
      <c r="AE32" s="189"/>
      <c r="AF32" s="190"/>
      <c r="AG32" s="189"/>
      <c r="AH32" s="187">
        <f>AH33+AH34</f>
        <v>40964.332499999997</v>
      </c>
      <c r="AI32" s="486" t="s">
        <v>782</v>
      </c>
    </row>
    <row r="33" spans="1:35" s="153" customFormat="1" ht="25.5" x14ac:dyDescent="0.25">
      <c r="A33" s="167"/>
      <c r="B33" s="168" t="s">
        <v>347</v>
      </c>
      <c r="C33" s="170" t="s">
        <v>348</v>
      </c>
      <c r="D33" s="168">
        <v>5100</v>
      </c>
      <c r="E33" s="168" t="s">
        <v>131</v>
      </c>
      <c r="F33" s="168">
        <v>8.0000000000000002E-3</v>
      </c>
      <c r="G33" s="323" t="s">
        <v>331</v>
      </c>
      <c r="H33" s="168">
        <v>40.800000000000004</v>
      </c>
      <c r="I33" s="315">
        <v>28.560000000000002</v>
      </c>
      <c r="J33" s="315">
        <v>200070</v>
      </c>
      <c r="K33" s="312">
        <v>28.560000000000002</v>
      </c>
      <c r="L33" s="315">
        <v>228285</v>
      </c>
      <c r="M33" s="312">
        <v>0</v>
      </c>
      <c r="N33" s="315">
        <v>256500</v>
      </c>
      <c r="O33" s="312">
        <v>0</v>
      </c>
      <c r="P33" s="315">
        <v>284715</v>
      </c>
      <c r="Q33" s="312">
        <v>0</v>
      </c>
      <c r="R33" s="315">
        <v>5713999.2000000002</v>
      </c>
      <c r="S33" s="169" t="s">
        <v>348</v>
      </c>
      <c r="T33" s="169">
        <v>30</v>
      </c>
      <c r="U33" s="170" t="s">
        <v>131</v>
      </c>
      <c r="V33" s="169">
        <v>8.0000000000000002E-3</v>
      </c>
      <c r="W33" s="169" t="s">
        <v>331</v>
      </c>
      <c r="X33" s="169">
        <f t="shared" si="2"/>
        <v>0.24</v>
      </c>
      <c r="Y33" s="169">
        <f t="shared" si="0"/>
        <v>0.12</v>
      </c>
      <c r="Z33" s="171">
        <f>Z31</f>
        <v>260091</v>
      </c>
      <c r="AA33" s="192">
        <f>Y33</f>
        <v>0.12</v>
      </c>
      <c r="AB33" s="171">
        <f>AB31</f>
        <v>296770.5</v>
      </c>
      <c r="AC33" s="171">
        <v>0</v>
      </c>
      <c r="AD33" s="171">
        <f>AD31</f>
        <v>333450</v>
      </c>
      <c r="AE33" s="171">
        <v>0</v>
      </c>
      <c r="AF33" s="171">
        <f>AF31</f>
        <v>370129.5</v>
      </c>
      <c r="AG33" s="171">
        <v>0</v>
      </c>
      <c r="AH33" s="172">
        <f>AA33*Z33+AC33*AB33+AE33*AD33+AG33*AF33</f>
        <v>31210.92</v>
      </c>
      <c r="AI33" s="487"/>
    </row>
    <row r="34" spans="1:35" s="153" customFormat="1" ht="25.5" x14ac:dyDescent="0.25">
      <c r="A34" s="167"/>
      <c r="B34" s="168" t="s">
        <v>349</v>
      </c>
      <c r="C34" s="170" t="s">
        <v>348</v>
      </c>
      <c r="D34" s="168">
        <v>5100</v>
      </c>
      <c r="E34" s="168" t="s">
        <v>131</v>
      </c>
      <c r="F34" s="168">
        <v>2.5000000000000001E-3</v>
      </c>
      <c r="G34" s="323" t="s">
        <v>331</v>
      </c>
      <c r="H34" s="168">
        <v>12.75</v>
      </c>
      <c r="I34" s="315">
        <v>8.9249999999999989</v>
      </c>
      <c r="J34" s="315">
        <v>200070</v>
      </c>
      <c r="K34" s="312">
        <v>8.9249999999999989</v>
      </c>
      <c r="L34" s="315">
        <v>228285</v>
      </c>
      <c r="M34" s="312">
        <v>0</v>
      </c>
      <c r="N34" s="315">
        <v>256500</v>
      </c>
      <c r="O34" s="312">
        <v>0</v>
      </c>
      <c r="P34" s="315">
        <v>284715</v>
      </c>
      <c r="Q34" s="312">
        <v>0</v>
      </c>
      <c r="R34" s="315">
        <v>1785624.7499999998</v>
      </c>
      <c r="S34" s="169" t="s">
        <v>348</v>
      </c>
      <c r="T34" s="169">
        <f>T33</f>
        <v>30</v>
      </c>
      <c r="U34" s="170" t="s">
        <v>131</v>
      </c>
      <c r="V34" s="169">
        <v>2.5000000000000001E-3</v>
      </c>
      <c r="W34" s="169" t="s">
        <v>331</v>
      </c>
      <c r="X34" s="193">
        <f t="shared" si="2"/>
        <v>7.4999999999999997E-2</v>
      </c>
      <c r="Y34" s="169">
        <f t="shared" si="0"/>
        <v>3.7499999999999999E-2</v>
      </c>
      <c r="Z34" s="171">
        <f>Z33</f>
        <v>260091</v>
      </c>
      <c r="AA34" s="192">
        <f>Y34</f>
        <v>3.7499999999999999E-2</v>
      </c>
      <c r="AB34" s="171">
        <f>AB33</f>
        <v>296770.5</v>
      </c>
      <c r="AC34" s="171">
        <v>0</v>
      </c>
      <c r="AD34" s="171">
        <f>AD33</f>
        <v>333450</v>
      </c>
      <c r="AE34" s="171">
        <v>0</v>
      </c>
      <c r="AF34" s="171">
        <f>AF33</f>
        <v>370129.5</v>
      </c>
      <c r="AG34" s="171">
        <v>0</v>
      </c>
      <c r="AH34" s="172">
        <f>AA34*Z34+AC34*AB34+AE34*AD34+AG34*AF34</f>
        <v>9753.4125000000004</v>
      </c>
      <c r="AI34" s="488"/>
    </row>
    <row r="35" spans="1:35" s="191" customFormat="1" ht="27" x14ac:dyDescent="0.25">
      <c r="A35" s="163" t="s">
        <v>350</v>
      </c>
      <c r="B35" s="174" t="s">
        <v>351</v>
      </c>
      <c r="C35" s="188"/>
      <c r="D35" s="174"/>
      <c r="E35" s="174"/>
      <c r="F35" s="174"/>
      <c r="G35" s="188"/>
      <c r="H35" s="174"/>
      <c r="I35" s="316">
        <v>1.2963999999999998</v>
      </c>
      <c r="J35" s="316"/>
      <c r="K35" s="313"/>
      <c r="L35" s="316"/>
      <c r="M35" s="313"/>
      <c r="N35" s="316"/>
      <c r="O35" s="313"/>
      <c r="P35" s="316"/>
      <c r="Q35" s="313"/>
      <c r="R35" s="316">
        <v>259370.74799999999</v>
      </c>
      <c r="S35" s="188"/>
      <c r="T35" s="188"/>
      <c r="U35" s="188"/>
      <c r="V35" s="188"/>
      <c r="W35" s="188"/>
      <c r="X35" s="169"/>
      <c r="Y35" s="169"/>
      <c r="Z35" s="171"/>
      <c r="AA35" s="189"/>
      <c r="AB35" s="171"/>
      <c r="AC35" s="189"/>
      <c r="AD35" s="190"/>
      <c r="AE35" s="189"/>
      <c r="AF35" s="190"/>
      <c r="AG35" s="189"/>
      <c r="AH35" s="187">
        <f>SUM(AH36:AH43)</f>
        <v>240844.266</v>
      </c>
      <c r="AI35" s="486" t="s">
        <v>783</v>
      </c>
    </row>
    <row r="36" spans="1:35" s="153" customFormat="1" ht="38.25" x14ac:dyDescent="0.25">
      <c r="A36" s="167"/>
      <c r="B36" s="168" t="s">
        <v>352</v>
      </c>
      <c r="C36" s="170" t="s">
        <v>353</v>
      </c>
      <c r="D36" s="168">
        <v>68</v>
      </c>
      <c r="E36" s="168">
        <v>2</v>
      </c>
      <c r="F36" s="168">
        <v>3.0999999999999999E-3</v>
      </c>
      <c r="G36" s="323" t="s">
        <v>331</v>
      </c>
      <c r="H36" s="168">
        <v>0.21079999999999999</v>
      </c>
      <c r="I36" s="315">
        <v>0.14755999999999997</v>
      </c>
      <c r="J36" s="315">
        <v>200070</v>
      </c>
      <c r="K36" s="312">
        <v>0.14755999999999997</v>
      </c>
      <c r="L36" s="315">
        <v>228285</v>
      </c>
      <c r="M36" s="312">
        <v>0</v>
      </c>
      <c r="N36" s="315">
        <v>256500</v>
      </c>
      <c r="O36" s="312">
        <v>0</v>
      </c>
      <c r="P36" s="315">
        <v>284715</v>
      </c>
      <c r="Q36" s="312">
        <v>0</v>
      </c>
      <c r="R36" s="315">
        <v>29522.329199999993</v>
      </c>
      <c r="S36" s="169" t="s">
        <v>353</v>
      </c>
      <c r="T36" s="169">
        <f>'trường phi KG '!C77</f>
        <v>68</v>
      </c>
      <c r="U36" s="169">
        <v>2</v>
      </c>
      <c r="V36" s="360">
        <v>3.0999999999999999E-3</v>
      </c>
      <c r="W36" s="169" t="s">
        <v>331</v>
      </c>
      <c r="X36" s="193">
        <f t="shared" si="2"/>
        <v>0.21079999999999999</v>
      </c>
      <c r="Y36" s="169">
        <f t="shared" si="0"/>
        <v>0.10539999999999999</v>
      </c>
      <c r="Z36" s="171">
        <f>Z34</f>
        <v>260091</v>
      </c>
      <c r="AA36" s="194">
        <f t="shared" ref="AA36:AA43" si="7">Y36</f>
        <v>0.10539999999999999</v>
      </c>
      <c r="AB36" s="171">
        <f>AB34</f>
        <v>296770.5</v>
      </c>
      <c r="AC36" s="171">
        <v>0</v>
      </c>
      <c r="AD36" s="171">
        <f>AD34</f>
        <v>333450</v>
      </c>
      <c r="AE36" s="171">
        <v>0</v>
      </c>
      <c r="AF36" s="171">
        <f>AF34</f>
        <v>370129.5</v>
      </c>
      <c r="AG36" s="171">
        <v>0</v>
      </c>
      <c r="AH36" s="172">
        <f t="shared" ref="AH36:AH43" si="8">AA36*Z36+AC36*AB36+AE36*AD36+AG36*AF36</f>
        <v>27413.591399999998</v>
      </c>
      <c r="AI36" s="487"/>
    </row>
    <row r="37" spans="1:35" s="153" customFormat="1" ht="38.25" x14ac:dyDescent="0.25">
      <c r="A37" s="167"/>
      <c r="B37" s="168" t="s">
        <v>354</v>
      </c>
      <c r="C37" s="170" t="s">
        <v>353</v>
      </c>
      <c r="D37" s="168">
        <v>115</v>
      </c>
      <c r="E37" s="168">
        <v>2</v>
      </c>
      <c r="F37" s="168">
        <v>5.4999999999999997E-3</v>
      </c>
      <c r="G37" s="323" t="s">
        <v>331</v>
      </c>
      <c r="H37" s="168">
        <v>0.63249999999999995</v>
      </c>
      <c r="I37" s="315">
        <v>0.44274999999999992</v>
      </c>
      <c r="J37" s="315">
        <v>200070</v>
      </c>
      <c r="K37" s="312">
        <v>0.44274999999999992</v>
      </c>
      <c r="L37" s="315">
        <v>228285</v>
      </c>
      <c r="M37" s="312">
        <v>0</v>
      </c>
      <c r="N37" s="315">
        <v>256500</v>
      </c>
      <c r="O37" s="312">
        <v>0</v>
      </c>
      <c r="P37" s="315">
        <v>284715</v>
      </c>
      <c r="Q37" s="312">
        <v>0</v>
      </c>
      <c r="R37" s="315">
        <v>88580.992499999978</v>
      </c>
      <c r="S37" s="169" t="s">
        <v>353</v>
      </c>
      <c r="T37" s="169">
        <f>'trường dữ liệu KG'!C125</f>
        <v>115</v>
      </c>
      <c r="U37" s="169">
        <v>2</v>
      </c>
      <c r="V37" s="169">
        <v>5.4999999999999997E-3</v>
      </c>
      <c r="W37" s="169" t="s">
        <v>331</v>
      </c>
      <c r="X37" s="193">
        <f t="shared" si="2"/>
        <v>0.63249999999999995</v>
      </c>
      <c r="Y37" s="169">
        <f t="shared" si="0"/>
        <v>0.31624999999999998</v>
      </c>
      <c r="Z37" s="171">
        <f t="shared" ref="Z37:Z43" si="9">Z36</f>
        <v>260091</v>
      </c>
      <c r="AA37" s="171">
        <f t="shared" si="7"/>
        <v>0.31624999999999998</v>
      </c>
      <c r="AB37" s="171">
        <f t="shared" ref="AB37:AB43" si="10">AB36</f>
        <v>296770.5</v>
      </c>
      <c r="AC37" s="171">
        <v>0</v>
      </c>
      <c r="AD37" s="171">
        <f t="shared" ref="AD37:AD43" si="11">AD36</f>
        <v>333450</v>
      </c>
      <c r="AE37" s="171">
        <v>0</v>
      </c>
      <c r="AF37" s="171">
        <f t="shared" ref="AF37:AF43" si="12">AF36</f>
        <v>370129.5</v>
      </c>
      <c r="AG37" s="171">
        <v>0</v>
      </c>
      <c r="AH37" s="172">
        <f t="shared" si="8"/>
        <v>82253.778749999998</v>
      </c>
      <c r="AI37" s="487"/>
    </row>
    <row r="38" spans="1:35" s="153" customFormat="1" ht="38.25" x14ac:dyDescent="0.25">
      <c r="A38" s="167"/>
      <c r="B38" s="168" t="s">
        <v>355</v>
      </c>
      <c r="C38" s="170" t="s">
        <v>356</v>
      </c>
      <c r="D38" s="168">
        <v>5</v>
      </c>
      <c r="E38" s="168">
        <v>2</v>
      </c>
      <c r="F38" s="168">
        <v>5.67E-2</v>
      </c>
      <c r="G38" s="323" t="s">
        <v>331</v>
      </c>
      <c r="H38" s="168">
        <v>0.28349999999999997</v>
      </c>
      <c r="I38" s="315">
        <v>0.19844999999999996</v>
      </c>
      <c r="J38" s="315">
        <v>200070</v>
      </c>
      <c r="K38" s="312">
        <v>0.19844999999999996</v>
      </c>
      <c r="L38" s="315">
        <v>228285</v>
      </c>
      <c r="M38" s="312">
        <v>0</v>
      </c>
      <c r="N38" s="315">
        <v>256500</v>
      </c>
      <c r="O38" s="312">
        <v>0</v>
      </c>
      <c r="P38" s="315">
        <v>284715</v>
      </c>
      <c r="Q38" s="312">
        <v>0</v>
      </c>
      <c r="R38" s="315">
        <v>39703.891499999991</v>
      </c>
      <c r="S38" s="169" t="s">
        <v>356</v>
      </c>
      <c r="T38" s="169">
        <v>5</v>
      </c>
      <c r="U38" s="169">
        <v>2</v>
      </c>
      <c r="V38" s="169">
        <v>5.67E-2</v>
      </c>
      <c r="W38" s="169" t="s">
        <v>331</v>
      </c>
      <c r="X38" s="193">
        <f>T38*V38</f>
        <v>0.28349999999999997</v>
      </c>
      <c r="Y38" s="169">
        <f t="shared" si="0"/>
        <v>0.14174999999999999</v>
      </c>
      <c r="Z38" s="171">
        <f t="shared" si="9"/>
        <v>260091</v>
      </c>
      <c r="AA38" s="171">
        <f t="shared" si="7"/>
        <v>0.14174999999999999</v>
      </c>
      <c r="AB38" s="171">
        <f t="shared" si="10"/>
        <v>296770.5</v>
      </c>
      <c r="AC38" s="171">
        <v>0</v>
      </c>
      <c r="AD38" s="171">
        <f t="shared" si="11"/>
        <v>333450</v>
      </c>
      <c r="AE38" s="171">
        <v>0</v>
      </c>
      <c r="AF38" s="171">
        <f t="shared" si="12"/>
        <v>370129.5</v>
      </c>
      <c r="AG38" s="171">
        <v>0</v>
      </c>
      <c r="AH38" s="172">
        <f t="shared" si="8"/>
        <v>36867.899249999995</v>
      </c>
      <c r="AI38" s="487"/>
    </row>
    <row r="39" spans="1:35" s="153" customFormat="1" ht="38.25" x14ac:dyDescent="0.25">
      <c r="A39" s="167"/>
      <c r="B39" s="168" t="s">
        <v>357</v>
      </c>
      <c r="C39" s="170" t="s">
        <v>356</v>
      </c>
      <c r="D39" s="168">
        <v>5</v>
      </c>
      <c r="E39" s="168">
        <v>2</v>
      </c>
      <c r="F39" s="168">
        <v>6.7000000000000004E-2</v>
      </c>
      <c r="G39" s="323" t="s">
        <v>331</v>
      </c>
      <c r="H39" s="168">
        <v>0.33500000000000002</v>
      </c>
      <c r="I39" s="315">
        <v>0.23449999999999999</v>
      </c>
      <c r="J39" s="315">
        <v>200070</v>
      </c>
      <c r="K39" s="312">
        <v>0.23449999999999999</v>
      </c>
      <c r="L39" s="315">
        <v>228285</v>
      </c>
      <c r="M39" s="312">
        <v>0</v>
      </c>
      <c r="N39" s="315">
        <v>256500</v>
      </c>
      <c r="O39" s="312">
        <v>0</v>
      </c>
      <c r="P39" s="315">
        <v>284715</v>
      </c>
      <c r="Q39" s="312">
        <v>0</v>
      </c>
      <c r="R39" s="315">
        <v>46916.415000000001</v>
      </c>
      <c r="S39" s="169" t="s">
        <v>356</v>
      </c>
      <c r="T39" s="169">
        <v>5</v>
      </c>
      <c r="U39" s="169">
        <v>2</v>
      </c>
      <c r="V39" s="169">
        <v>6.7000000000000004E-2</v>
      </c>
      <c r="W39" s="169" t="s">
        <v>331</v>
      </c>
      <c r="X39" s="193">
        <f t="shared" si="2"/>
        <v>0.33500000000000002</v>
      </c>
      <c r="Y39" s="169">
        <f t="shared" si="0"/>
        <v>0.16750000000000001</v>
      </c>
      <c r="Z39" s="171">
        <f t="shared" si="9"/>
        <v>260091</v>
      </c>
      <c r="AA39" s="171">
        <f t="shared" si="7"/>
        <v>0.16750000000000001</v>
      </c>
      <c r="AB39" s="171">
        <f t="shared" si="10"/>
        <v>296770.5</v>
      </c>
      <c r="AC39" s="171">
        <v>0</v>
      </c>
      <c r="AD39" s="171">
        <f t="shared" si="11"/>
        <v>333450</v>
      </c>
      <c r="AE39" s="171">
        <v>0</v>
      </c>
      <c r="AF39" s="171">
        <f t="shared" si="12"/>
        <v>370129.5</v>
      </c>
      <c r="AG39" s="171">
        <v>0</v>
      </c>
      <c r="AH39" s="172">
        <f t="shared" si="8"/>
        <v>43565.2425</v>
      </c>
      <c r="AI39" s="487"/>
    </row>
    <row r="40" spans="1:35" s="153" customFormat="1" ht="51" x14ac:dyDescent="0.25">
      <c r="A40" s="167"/>
      <c r="B40" s="168" t="s">
        <v>358</v>
      </c>
      <c r="C40" s="170" t="s">
        <v>359</v>
      </c>
      <c r="D40" s="168">
        <v>68</v>
      </c>
      <c r="E40" s="168">
        <v>2</v>
      </c>
      <c r="F40" s="168">
        <v>8.9999999999999998E-4</v>
      </c>
      <c r="G40" s="323" t="s">
        <v>331</v>
      </c>
      <c r="H40" s="168">
        <v>6.1199999999999997E-2</v>
      </c>
      <c r="I40" s="315">
        <v>4.2839999999999996E-2</v>
      </c>
      <c r="J40" s="315">
        <v>200070</v>
      </c>
      <c r="K40" s="312">
        <v>4.2839999999999996E-2</v>
      </c>
      <c r="L40" s="315">
        <v>228285</v>
      </c>
      <c r="M40" s="312">
        <v>0</v>
      </c>
      <c r="N40" s="315">
        <v>256500</v>
      </c>
      <c r="O40" s="312">
        <v>0</v>
      </c>
      <c r="P40" s="315">
        <v>284715</v>
      </c>
      <c r="Q40" s="312">
        <v>0</v>
      </c>
      <c r="R40" s="315">
        <v>8570.9987999999994</v>
      </c>
      <c r="S40" s="169" t="s">
        <v>359</v>
      </c>
      <c r="T40" s="169">
        <f>'trường phi KG '!C77</f>
        <v>68</v>
      </c>
      <c r="U40" s="169">
        <v>2</v>
      </c>
      <c r="V40" s="169">
        <v>8.9999999999999998E-4</v>
      </c>
      <c r="W40" s="169" t="s">
        <v>331</v>
      </c>
      <c r="X40" s="193">
        <f t="shared" si="2"/>
        <v>6.1199999999999997E-2</v>
      </c>
      <c r="Y40" s="169">
        <f t="shared" si="0"/>
        <v>3.0599999999999999E-2</v>
      </c>
      <c r="Z40" s="171">
        <f t="shared" si="9"/>
        <v>260091</v>
      </c>
      <c r="AA40" s="194">
        <f t="shared" si="7"/>
        <v>3.0599999999999999E-2</v>
      </c>
      <c r="AB40" s="171">
        <f t="shared" si="10"/>
        <v>296770.5</v>
      </c>
      <c r="AC40" s="171">
        <v>0</v>
      </c>
      <c r="AD40" s="171">
        <f t="shared" si="11"/>
        <v>333450</v>
      </c>
      <c r="AE40" s="171">
        <v>0</v>
      </c>
      <c r="AF40" s="171">
        <f t="shared" si="12"/>
        <v>370129.5</v>
      </c>
      <c r="AG40" s="171">
        <v>0</v>
      </c>
      <c r="AH40" s="172">
        <f t="shared" si="8"/>
        <v>7958.7846</v>
      </c>
      <c r="AI40" s="487"/>
    </row>
    <row r="41" spans="1:35" s="153" customFormat="1" ht="38.25" x14ac:dyDescent="0.25">
      <c r="A41" s="167"/>
      <c r="B41" s="168" t="s">
        <v>360</v>
      </c>
      <c r="C41" s="170" t="s">
        <v>361</v>
      </c>
      <c r="D41" s="168">
        <v>115</v>
      </c>
      <c r="E41" s="168">
        <v>2</v>
      </c>
      <c r="F41" s="168">
        <v>1.5E-3</v>
      </c>
      <c r="G41" s="323" t="s">
        <v>331</v>
      </c>
      <c r="H41" s="168">
        <v>0.17250000000000001</v>
      </c>
      <c r="I41" s="315">
        <v>0.12075</v>
      </c>
      <c r="J41" s="315">
        <v>200070</v>
      </c>
      <c r="K41" s="312">
        <v>0.12075</v>
      </c>
      <c r="L41" s="315">
        <v>228285</v>
      </c>
      <c r="M41" s="312">
        <v>0</v>
      </c>
      <c r="N41" s="315">
        <v>256500</v>
      </c>
      <c r="O41" s="312">
        <v>0</v>
      </c>
      <c r="P41" s="315">
        <v>284715</v>
      </c>
      <c r="Q41" s="312">
        <v>0</v>
      </c>
      <c r="R41" s="315">
        <v>24158.452499999999</v>
      </c>
      <c r="S41" s="169" t="s">
        <v>361</v>
      </c>
      <c r="T41" s="169">
        <f>'trường dữ liệu KG'!C125</f>
        <v>115</v>
      </c>
      <c r="U41" s="169">
        <v>2</v>
      </c>
      <c r="V41" s="169">
        <v>1.5E-3</v>
      </c>
      <c r="W41" s="169" t="s">
        <v>331</v>
      </c>
      <c r="X41" s="193">
        <f t="shared" si="2"/>
        <v>0.17250000000000001</v>
      </c>
      <c r="Y41" s="169">
        <f t="shared" si="0"/>
        <v>8.6250000000000007E-2</v>
      </c>
      <c r="Z41" s="171">
        <f t="shared" si="9"/>
        <v>260091</v>
      </c>
      <c r="AA41" s="194">
        <f t="shared" si="7"/>
        <v>8.6250000000000007E-2</v>
      </c>
      <c r="AB41" s="171">
        <f t="shared" si="10"/>
        <v>296770.5</v>
      </c>
      <c r="AC41" s="171">
        <v>0</v>
      </c>
      <c r="AD41" s="171">
        <f t="shared" si="11"/>
        <v>333450</v>
      </c>
      <c r="AE41" s="171">
        <v>0</v>
      </c>
      <c r="AF41" s="171">
        <f t="shared" si="12"/>
        <v>370129.5</v>
      </c>
      <c r="AG41" s="171">
        <v>0</v>
      </c>
      <c r="AH41" s="172">
        <f t="shared" si="8"/>
        <v>22432.848750000001</v>
      </c>
      <c r="AI41" s="487"/>
    </row>
    <row r="42" spans="1:35" s="153" customFormat="1" ht="51" x14ac:dyDescent="0.25">
      <c r="A42" s="167"/>
      <c r="B42" s="168" t="s">
        <v>362</v>
      </c>
      <c r="C42" s="170" t="s">
        <v>363</v>
      </c>
      <c r="D42" s="168">
        <v>5</v>
      </c>
      <c r="E42" s="168">
        <v>2</v>
      </c>
      <c r="F42" s="168">
        <v>1.43E-2</v>
      </c>
      <c r="G42" s="323" t="s">
        <v>331</v>
      </c>
      <c r="H42" s="168">
        <v>7.1500000000000008E-2</v>
      </c>
      <c r="I42" s="315">
        <v>5.0050000000000004E-2</v>
      </c>
      <c r="J42" s="315">
        <v>200070</v>
      </c>
      <c r="K42" s="312">
        <v>5.0050000000000004E-2</v>
      </c>
      <c r="L42" s="315">
        <v>228285</v>
      </c>
      <c r="M42" s="312">
        <v>0</v>
      </c>
      <c r="N42" s="315">
        <v>256500</v>
      </c>
      <c r="O42" s="312">
        <v>0</v>
      </c>
      <c r="P42" s="315">
        <v>284715</v>
      </c>
      <c r="Q42" s="312">
        <v>0</v>
      </c>
      <c r="R42" s="315">
        <v>10013.503500000001</v>
      </c>
      <c r="S42" s="169" t="s">
        <v>363</v>
      </c>
      <c r="T42" s="169">
        <v>5</v>
      </c>
      <c r="U42" s="169">
        <v>2</v>
      </c>
      <c r="V42" s="169">
        <v>1.43E-2</v>
      </c>
      <c r="W42" s="169" t="s">
        <v>331</v>
      </c>
      <c r="X42" s="193">
        <f t="shared" si="2"/>
        <v>7.1500000000000008E-2</v>
      </c>
      <c r="Y42" s="169">
        <f t="shared" si="0"/>
        <v>3.5750000000000004E-2</v>
      </c>
      <c r="Z42" s="171">
        <f t="shared" si="9"/>
        <v>260091</v>
      </c>
      <c r="AA42" s="171">
        <f t="shared" si="7"/>
        <v>3.5750000000000004E-2</v>
      </c>
      <c r="AB42" s="171">
        <f t="shared" si="10"/>
        <v>296770.5</v>
      </c>
      <c r="AC42" s="171">
        <v>0</v>
      </c>
      <c r="AD42" s="171">
        <f t="shared" si="11"/>
        <v>333450</v>
      </c>
      <c r="AE42" s="171">
        <v>0</v>
      </c>
      <c r="AF42" s="171">
        <f t="shared" si="12"/>
        <v>370129.5</v>
      </c>
      <c r="AG42" s="171">
        <v>0</v>
      </c>
      <c r="AH42" s="172">
        <f t="shared" si="8"/>
        <v>9298.2532500000016</v>
      </c>
      <c r="AI42" s="487"/>
    </row>
    <row r="43" spans="1:35" s="153" customFormat="1" ht="38.25" x14ac:dyDescent="0.25">
      <c r="A43" s="167"/>
      <c r="B43" s="168" t="s">
        <v>360</v>
      </c>
      <c r="C43" s="170" t="s">
        <v>363</v>
      </c>
      <c r="D43" s="168">
        <v>5</v>
      </c>
      <c r="E43" s="168">
        <v>2</v>
      </c>
      <c r="F43" s="168">
        <v>1.7000000000000001E-2</v>
      </c>
      <c r="G43" s="323" t="s">
        <v>331</v>
      </c>
      <c r="H43" s="168">
        <v>8.5000000000000006E-2</v>
      </c>
      <c r="I43" s="315">
        <v>5.9499999999999997E-2</v>
      </c>
      <c r="J43" s="315">
        <v>200070</v>
      </c>
      <c r="K43" s="312">
        <v>5.9499999999999997E-2</v>
      </c>
      <c r="L43" s="315">
        <v>228285</v>
      </c>
      <c r="M43" s="312">
        <v>0</v>
      </c>
      <c r="N43" s="315">
        <v>256500</v>
      </c>
      <c r="O43" s="312">
        <v>0</v>
      </c>
      <c r="P43" s="315">
        <v>284715</v>
      </c>
      <c r="Q43" s="312">
        <v>0</v>
      </c>
      <c r="R43" s="315">
        <v>11904.164999999999</v>
      </c>
      <c r="S43" s="169" t="s">
        <v>363</v>
      </c>
      <c r="T43" s="169">
        <v>5</v>
      </c>
      <c r="U43" s="169">
        <v>2</v>
      </c>
      <c r="V43" s="169">
        <v>1.7000000000000001E-2</v>
      </c>
      <c r="W43" s="169" t="s">
        <v>331</v>
      </c>
      <c r="X43" s="193">
        <f t="shared" si="2"/>
        <v>8.5000000000000006E-2</v>
      </c>
      <c r="Y43" s="169">
        <f t="shared" si="0"/>
        <v>4.2500000000000003E-2</v>
      </c>
      <c r="Z43" s="171">
        <f t="shared" si="9"/>
        <v>260091</v>
      </c>
      <c r="AA43" s="171">
        <f t="shared" si="7"/>
        <v>4.2500000000000003E-2</v>
      </c>
      <c r="AB43" s="171">
        <f t="shared" si="10"/>
        <v>296770.5</v>
      </c>
      <c r="AC43" s="171">
        <v>0</v>
      </c>
      <c r="AD43" s="171">
        <f t="shared" si="11"/>
        <v>333450</v>
      </c>
      <c r="AE43" s="171">
        <v>0</v>
      </c>
      <c r="AF43" s="171">
        <f t="shared" si="12"/>
        <v>370129.5</v>
      </c>
      <c r="AG43" s="171">
        <v>0</v>
      </c>
      <c r="AH43" s="172">
        <f t="shared" si="8"/>
        <v>11053.8675</v>
      </c>
      <c r="AI43" s="488"/>
    </row>
    <row r="44" spans="1:35" s="185" customFormat="1" ht="38.25" customHeight="1" x14ac:dyDescent="0.25">
      <c r="A44" s="157">
        <v>5</v>
      </c>
      <c r="B44" s="178" t="s">
        <v>364</v>
      </c>
      <c r="C44" s="181"/>
      <c r="D44" s="178"/>
      <c r="E44" s="178"/>
      <c r="F44" s="178"/>
      <c r="G44" s="181"/>
      <c r="H44" s="178"/>
      <c r="I44" s="317">
        <v>279.375</v>
      </c>
      <c r="J44" s="317"/>
      <c r="K44" s="314"/>
      <c r="L44" s="317"/>
      <c r="M44" s="314"/>
      <c r="N44" s="317"/>
      <c r="O44" s="314"/>
      <c r="P44" s="317"/>
      <c r="Q44" s="314"/>
      <c r="R44" s="317">
        <v>65460980.25</v>
      </c>
      <c r="S44" s="181"/>
      <c r="T44" s="181"/>
      <c r="U44" s="181"/>
      <c r="V44" s="181"/>
      <c r="W44" s="181"/>
      <c r="X44" s="169"/>
      <c r="Y44" s="169">
        <f t="shared" si="0"/>
        <v>0</v>
      </c>
      <c r="Z44" s="171"/>
      <c r="AA44" s="182"/>
      <c r="AB44" s="171"/>
      <c r="AC44" s="182"/>
      <c r="AD44" s="183"/>
      <c r="AE44" s="182"/>
      <c r="AF44" s="183"/>
      <c r="AG44" s="182"/>
      <c r="AH44" s="184">
        <f>AH45+AH46+AH47+AH48</f>
        <v>70934318.325000003</v>
      </c>
      <c r="AI44" s="486" t="s">
        <v>784</v>
      </c>
    </row>
    <row r="45" spans="1:35" s="153" customFormat="1" x14ac:dyDescent="0.25">
      <c r="A45" s="173" t="s">
        <v>365</v>
      </c>
      <c r="B45" s="174" t="s">
        <v>366</v>
      </c>
      <c r="C45" s="188" t="s">
        <v>310</v>
      </c>
      <c r="D45" s="174">
        <v>18.21</v>
      </c>
      <c r="E45" s="174">
        <v>2</v>
      </c>
      <c r="F45" s="174">
        <v>15</v>
      </c>
      <c r="G45" s="188" t="s">
        <v>367</v>
      </c>
      <c r="H45" s="174">
        <v>273.15000000000003</v>
      </c>
      <c r="I45" s="316">
        <v>136.57500000000002</v>
      </c>
      <c r="J45" s="316">
        <v>200070</v>
      </c>
      <c r="K45" s="313">
        <v>136.57500000000002</v>
      </c>
      <c r="L45" s="316">
        <v>228285</v>
      </c>
      <c r="M45" s="313">
        <v>0</v>
      </c>
      <c r="N45" s="316">
        <v>256500</v>
      </c>
      <c r="O45" s="313">
        <v>0</v>
      </c>
      <c r="P45" s="316">
        <v>284715</v>
      </c>
      <c r="Q45" s="313">
        <v>0</v>
      </c>
      <c r="R45" s="316">
        <v>27324560.250000004</v>
      </c>
      <c r="S45" s="169" t="s">
        <v>310</v>
      </c>
      <c r="T45" s="177">
        <f>T19</f>
        <v>18.21</v>
      </c>
      <c r="U45" s="169">
        <v>2</v>
      </c>
      <c r="V45" s="169">
        <v>15</v>
      </c>
      <c r="W45" s="169" t="s">
        <v>367</v>
      </c>
      <c r="X45" s="193">
        <f t="shared" si="2"/>
        <v>273.15000000000003</v>
      </c>
      <c r="Y45" s="169">
        <f t="shared" si="0"/>
        <v>136.57500000000002</v>
      </c>
      <c r="Z45" s="171">
        <f>Z43</f>
        <v>260091</v>
      </c>
      <c r="AA45" s="171">
        <f>Y45</f>
        <v>136.57500000000002</v>
      </c>
      <c r="AB45" s="171">
        <f>AB43</f>
        <v>296770.5</v>
      </c>
      <c r="AC45" s="171">
        <v>0</v>
      </c>
      <c r="AD45" s="171">
        <f>AD43</f>
        <v>333450</v>
      </c>
      <c r="AE45" s="171">
        <v>0</v>
      </c>
      <c r="AF45" s="171">
        <f>AF43</f>
        <v>370129.5</v>
      </c>
      <c r="AG45" s="171">
        <v>0</v>
      </c>
      <c r="AH45" s="172">
        <f>AA45*Z45+AC45*AB45+AE45*AD45+AG45*AF45</f>
        <v>35521928.325000003</v>
      </c>
      <c r="AI45" s="487"/>
    </row>
    <row r="46" spans="1:35" s="153" customFormat="1" ht="40.5" x14ac:dyDescent="0.25">
      <c r="A46" s="173" t="s">
        <v>368</v>
      </c>
      <c r="B46" s="174" t="s">
        <v>369</v>
      </c>
      <c r="C46" s="188" t="s">
        <v>310</v>
      </c>
      <c r="D46" s="174">
        <v>6</v>
      </c>
      <c r="E46" s="174">
        <v>1</v>
      </c>
      <c r="F46" s="174">
        <v>16</v>
      </c>
      <c r="G46" s="188" t="s">
        <v>367</v>
      </c>
      <c r="H46" s="174">
        <v>96</v>
      </c>
      <c r="I46" s="316">
        <v>67.199999999999989</v>
      </c>
      <c r="J46" s="316">
        <v>200070</v>
      </c>
      <c r="K46" s="313">
        <v>67.199999999999989</v>
      </c>
      <c r="L46" s="316">
        <v>228285</v>
      </c>
      <c r="M46" s="313">
        <v>0</v>
      </c>
      <c r="N46" s="316">
        <v>256500</v>
      </c>
      <c r="O46" s="313">
        <v>0</v>
      </c>
      <c r="P46" s="316">
        <v>284715</v>
      </c>
      <c r="Q46" s="313">
        <v>0</v>
      </c>
      <c r="R46" s="316">
        <v>13444703.999999998</v>
      </c>
      <c r="S46" s="169" t="s">
        <v>310</v>
      </c>
      <c r="T46" s="177">
        <v>6</v>
      </c>
      <c r="U46" s="169">
        <v>1</v>
      </c>
      <c r="V46" s="169">
        <v>16</v>
      </c>
      <c r="W46" s="169" t="s">
        <v>367</v>
      </c>
      <c r="X46" s="169">
        <f t="shared" si="2"/>
        <v>96</v>
      </c>
      <c r="Y46" s="169">
        <f t="shared" si="0"/>
        <v>48</v>
      </c>
      <c r="Z46" s="171">
        <f>Z45</f>
        <v>260091</v>
      </c>
      <c r="AA46" s="171">
        <f>Y46</f>
        <v>48</v>
      </c>
      <c r="AB46" s="171">
        <f>AB45</f>
        <v>296770.5</v>
      </c>
      <c r="AC46" s="171">
        <v>0</v>
      </c>
      <c r="AD46" s="171">
        <f>AD45</f>
        <v>333450</v>
      </c>
      <c r="AE46" s="171">
        <v>0</v>
      </c>
      <c r="AF46" s="171">
        <f>AF45</f>
        <v>370129.5</v>
      </c>
      <c r="AG46" s="171">
        <v>0</v>
      </c>
      <c r="AH46" s="172">
        <f>AA46*Z46+AC46*AB46+AE46*AD46+AG46*AF46</f>
        <v>12484368</v>
      </c>
      <c r="AI46" s="487"/>
    </row>
    <row r="47" spans="1:35" s="153" customFormat="1" ht="40.5" x14ac:dyDescent="0.25">
      <c r="A47" s="173" t="s">
        <v>370</v>
      </c>
      <c r="B47" s="174" t="s">
        <v>371</v>
      </c>
      <c r="C47" s="188" t="s">
        <v>310</v>
      </c>
      <c r="D47" s="174">
        <v>5</v>
      </c>
      <c r="E47" s="174">
        <v>1</v>
      </c>
      <c r="F47" s="174">
        <v>12</v>
      </c>
      <c r="G47" s="188" t="s">
        <v>367</v>
      </c>
      <c r="H47" s="174">
        <v>60</v>
      </c>
      <c r="I47" s="316">
        <v>42</v>
      </c>
      <c r="J47" s="316">
        <v>200070</v>
      </c>
      <c r="K47" s="313">
        <v>42</v>
      </c>
      <c r="L47" s="316">
        <v>228285</v>
      </c>
      <c r="M47" s="313">
        <v>0</v>
      </c>
      <c r="N47" s="316">
        <v>256500</v>
      </c>
      <c r="O47" s="313">
        <v>0</v>
      </c>
      <c r="P47" s="316">
        <v>284715</v>
      </c>
      <c r="Q47" s="313">
        <v>0</v>
      </c>
      <c r="R47" s="316">
        <v>8402940</v>
      </c>
      <c r="S47" s="169" t="s">
        <v>310</v>
      </c>
      <c r="T47" s="177">
        <v>5</v>
      </c>
      <c r="U47" s="169">
        <v>1</v>
      </c>
      <c r="V47" s="169">
        <v>12</v>
      </c>
      <c r="W47" s="169" t="s">
        <v>367</v>
      </c>
      <c r="X47" s="169">
        <f t="shared" si="2"/>
        <v>60</v>
      </c>
      <c r="Y47" s="169">
        <f t="shared" si="0"/>
        <v>30</v>
      </c>
      <c r="Z47" s="171">
        <f>Z46</f>
        <v>260091</v>
      </c>
      <c r="AA47" s="171">
        <f>Y47</f>
        <v>30</v>
      </c>
      <c r="AB47" s="171">
        <f>AB46</f>
        <v>296770.5</v>
      </c>
      <c r="AC47" s="171">
        <v>0</v>
      </c>
      <c r="AD47" s="171">
        <f>AD46</f>
        <v>333450</v>
      </c>
      <c r="AE47" s="171">
        <v>0</v>
      </c>
      <c r="AF47" s="171">
        <f>AF46</f>
        <v>370129.5</v>
      </c>
      <c r="AG47" s="171">
        <v>0</v>
      </c>
      <c r="AH47" s="172">
        <f>AA47*Z47+AC47*AB47+AE47*AD47+AG47*AF47</f>
        <v>7802730</v>
      </c>
      <c r="AI47" s="487"/>
    </row>
    <row r="48" spans="1:35" s="153" customFormat="1" ht="38.25" x14ac:dyDescent="0.25">
      <c r="A48" s="173" t="s">
        <v>372</v>
      </c>
      <c r="B48" s="174" t="s">
        <v>373</v>
      </c>
      <c r="C48" s="188" t="s">
        <v>310</v>
      </c>
      <c r="D48" s="174">
        <v>6</v>
      </c>
      <c r="E48" s="174">
        <v>1</v>
      </c>
      <c r="F48" s="174">
        <v>8</v>
      </c>
      <c r="G48" s="188" t="s">
        <v>327</v>
      </c>
      <c r="H48" s="174">
        <v>48</v>
      </c>
      <c r="I48" s="316">
        <v>33.599999999999994</v>
      </c>
      <c r="J48" s="316">
        <v>200070</v>
      </c>
      <c r="K48" s="313"/>
      <c r="L48" s="316">
        <v>228285</v>
      </c>
      <c r="M48" s="313">
        <v>33.599999999999994</v>
      </c>
      <c r="N48" s="316">
        <v>256500</v>
      </c>
      <c r="O48" s="313">
        <v>33.599999999999994</v>
      </c>
      <c r="P48" s="316">
        <v>284715</v>
      </c>
      <c r="Q48" s="313">
        <v>0</v>
      </c>
      <c r="R48" s="316">
        <v>16288775.999999996</v>
      </c>
      <c r="S48" s="169" t="s">
        <v>310</v>
      </c>
      <c r="T48" s="177">
        <v>6</v>
      </c>
      <c r="U48" s="169">
        <v>1</v>
      </c>
      <c r="V48" s="169">
        <v>8</v>
      </c>
      <c r="W48" s="169" t="s">
        <v>327</v>
      </c>
      <c r="X48" s="169">
        <f t="shared" si="2"/>
        <v>48</v>
      </c>
      <c r="Y48" s="169">
        <f t="shared" si="0"/>
        <v>24</v>
      </c>
      <c r="Z48" s="171">
        <f>Z47</f>
        <v>260091</v>
      </c>
      <c r="AA48" s="171"/>
      <c r="AB48" s="171">
        <f>AB47</f>
        <v>296770.5</v>
      </c>
      <c r="AC48" s="171">
        <f>Y48</f>
        <v>24</v>
      </c>
      <c r="AD48" s="171">
        <f>AD47</f>
        <v>333450</v>
      </c>
      <c r="AE48" s="171">
        <f>Y48</f>
        <v>24</v>
      </c>
      <c r="AF48" s="171">
        <f>AF47</f>
        <v>370129.5</v>
      </c>
      <c r="AG48" s="171">
        <v>0</v>
      </c>
      <c r="AH48" s="172">
        <f>AA48*Z48+AC48*AB48+AE48*AD48+AG48*AF48</f>
        <v>15125292</v>
      </c>
      <c r="AI48" s="488"/>
    </row>
    <row r="49" spans="1:35" s="185" customFormat="1" ht="38.25" customHeight="1" x14ac:dyDescent="0.25">
      <c r="A49" s="157">
        <v>6</v>
      </c>
      <c r="B49" s="178" t="s">
        <v>374</v>
      </c>
      <c r="C49" s="181"/>
      <c r="D49" s="178"/>
      <c r="E49" s="178"/>
      <c r="F49" s="178"/>
      <c r="G49" s="181"/>
      <c r="H49" s="178"/>
      <c r="I49" s="317">
        <v>346.71839999999997</v>
      </c>
      <c r="J49" s="317"/>
      <c r="K49" s="314"/>
      <c r="L49" s="317"/>
      <c r="M49" s="314"/>
      <c r="N49" s="317"/>
      <c r="O49" s="314"/>
      <c r="P49" s="317"/>
      <c r="Q49" s="314"/>
      <c r="R49" s="317">
        <v>144804288.384</v>
      </c>
      <c r="S49" s="181"/>
      <c r="T49" s="181"/>
      <c r="U49" s="181"/>
      <c r="V49" s="169"/>
      <c r="W49" s="181"/>
      <c r="X49" s="169"/>
      <c r="Y49" s="169">
        <f t="shared" si="0"/>
        <v>0</v>
      </c>
      <c r="Z49" s="171"/>
      <c r="AA49" s="182"/>
      <c r="AB49" s="171"/>
      <c r="AC49" s="182"/>
      <c r="AD49" s="183"/>
      <c r="AE49" s="182"/>
      <c r="AF49" s="183"/>
      <c r="AG49" s="182"/>
      <c r="AH49" s="184">
        <f>AH50+AH51+AH52</f>
        <v>134461124.928</v>
      </c>
      <c r="AI49" s="486" t="s">
        <v>785</v>
      </c>
    </row>
    <row r="50" spans="1:35" s="153" customFormat="1" ht="27" x14ac:dyDescent="0.25">
      <c r="A50" s="173" t="s">
        <v>375</v>
      </c>
      <c r="B50" s="174" t="s">
        <v>376</v>
      </c>
      <c r="C50" s="188" t="s">
        <v>310</v>
      </c>
      <c r="D50" s="174">
        <v>18.21</v>
      </c>
      <c r="E50" s="174">
        <v>1</v>
      </c>
      <c r="F50" s="174">
        <v>8</v>
      </c>
      <c r="G50" s="188" t="s">
        <v>323</v>
      </c>
      <c r="H50" s="174">
        <v>145.68</v>
      </c>
      <c r="I50" s="316">
        <v>101.976</v>
      </c>
      <c r="J50" s="316">
        <v>200070</v>
      </c>
      <c r="K50" s="313">
        <v>0</v>
      </c>
      <c r="L50" s="316">
        <v>228285</v>
      </c>
      <c r="M50" s="313">
        <v>0</v>
      </c>
      <c r="N50" s="316">
        <v>256500</v>
      </c>
      <c r="O50" s="313">
        <v>101.976</v>
      </c>
      <c r="P50" s="316">
        <v>284715</v>
      </c>
      <c r="Q50" s="313">
        <v>0</v>
      </c>
      <c r="R50" s="316">
        <v>26156844</v>
      </c>
      <c r="S50" s="169" t="s">
        <v>310</v>
      </c>
      <c r="T50" s="177">
        <f>T19</f>
        <v>18.21</v>
      </c>
      <c r="U50" s="169">
        <v>1</v>
      </c>
      <c r="V50" s="169">
        <v>8</v>
      </c>
      <c r="W50" s="169" t="s">
        <v>323</v>
      </c>
      <c r="X50" s="169">
        <f t="shared" si="2"/>
        <v>145.68</v>
      </c>
      <c r="Y50" s="169">
        <f t="shared" si="0"/>
        <v>72.84</v>
      </c>
      <c r="Z50" s="171">
        <f>Z48</f>
        <v>260091</v>
      </c>
      <c r="AA50" s="171">
        <v>0</v>
      </c>
      <c r="AB50" s="171">
        <f>AB48</f>
        <v>296770.5</v>
      </c>
      <c r="AC50" s="171">
        <v>0</v>
      </c>
      <c r="AD50" s="171">
        <f>AD48</f>
        <v>333450</v>
      </c>
      <c r="AE50" s="171">
        <f>Y50</f>
        <v>72.84</v>
      </c>
      <c r="AF50" s="171">
        <f>AF48</f>
        <v>370129.5</v>
      </c>
      <c r="AG50" s="171">
        <v>0</v>
      </c>
      <c r="AH50" s="172">
        <f>AA50*Z50+AC50*AB50+AE50*AD50+AG50*AF50</f>
        <v>24288498</v>
      </c>
      <c r="AI50" s="487"/>
    </row>
    <row r="51" spans="1:35" s="153" customFormat="1" ht="38.25" x14ac:dyDescent="0.25">
      <c r="A51" s="173" t="s">
        <v>377</v>
      </c>
      <c r="B51" s="174" t="s">
        <v>378</v>
      </c>
      <c r="C51" s="188" t="s">
        <v>310</v>
      </c>
      <c r="D51" s="174">
        <v>18.21</v>
      </c>
      <c r="E51" s="174">
        <v>1</v>
      </c>
      <c r="F51" s="174">
        <v>9.6</v>
      </c>
      <c r="G51" s="188" t="s">
        <v>315</v>
      </c>
      <c r="H51" s="174">
        <v>174.816</v>
      </c>
      <c r="I51" s="316">
        <v>122.37119999999999</v>
      </c>
      <c r="J51" s="316">
        <v>200070</v>
      </c>
      <c r="K51" s="313">
        <v>0</v>
      </c>
      <c r="L51" s="316">
        <v>228285</v>
      </c>
      <c r="M51" s="313">
        <v>244.74239999999998</v>
      </c>
      <c r="N51" s="316">
        <v>256500</v>
      </c>
      <c r="O51" s="313">
        <v>122.37119999999999</v>
      </c>
      <c r="P51" s="316">
        <v>284715</v>
      </c>
      <c r="Q51" s="313">
        <v>0</v>
      </c>
      <c r="R51" s="316">
        <v>87259231.583999991</v>
      </c>
      <c r="S51" s="169" t="s">
        <v>310</v>
      </c>
      <c r="T51" s="177">
        <f>T50</f>
        <v>18.21</v>
      </c>
      <c r="U51" s="169">
        <v>1</v>
      </c>
      <c r="V51" s="169">
        <v>9.6</v>
      </c>
      <c r="W51" s="169" t="s">
        <v>315</v>
      </c>
      <c r="X51" s="193">
        <f t="shared" si="2"/>
        <v>174.816</v>
      </c>
      <c r="Y51" s="169">
        <f t="shared" si="0"/>
        <v>87.408000000000001</v>
      </c>
      <c r="Z51" s="171">
        <f>Z50</f>
        <v>260091</v>
      </c>
      <c r="AA51" s="171">
        <v>0</v>
      </c>
      <c r="AB51" s="171">
        <f>AB50</f>
        <v>296770.5</v>
      </c>
      <c r="AC51" s="171">
        <f>2*Y51</f>
        <v>174.816</v>
      </c>
      <c r="AD51" s="171">
        <f>AD50</f>
        <v>333450</v>
      </c>
      <c r="AE51" s="171">
        <f>Y51</f>
        <v>87.408000000000001</v>
      </c>
      <c r="AF51" s="171">
        <f>AF48</f>
        <v>370129.5</v>
      </c>
      <c r="AG51" s="171">
        <v>0</v>
      </c>
      <c r="AH51" s="172">
        <f>AA51*Z51+AC51*AB51+AE51*AD51+AG51*AF51</f>
        <v>81026429.328000009</v>
      </c>
      <c r="AI51" s="487"/>
    </row>
    <row r="52" spans="1:35" s="153" customFormat="1" ht="27" x14ac:dyDescent="0.25">
      <c r="A52" s="173" t="s">
        <v>379</v>
      </c>
      <c r="B52" s="174" t="s">
        <v>380</v>
      </c>
      <c r="C52" s="188" t="s">
        <v>310</v>
      </c>
      <c r="D52" s="174">
        <v>18.21</v>
      </c>
      <c r="E52" s="174">
        <v>1</v>
      </c>
      <c r="F52" s="174">
        <v>9.6</v>
      </c>
      <c r="G52" s="188" t="s">
        <v>323</v>
      </c>
      <c r="H52" s="174">
        <v>174.816</v>
      </c>
      <c r="I52" s="316">
        <v>122.37119999999999</v>
      </c>
      <c r="J52" s="316">
        <v>200070</v>
      </c>
      <c r="K52" s="313">
        <v>0</v>
      </c>
      <c r="L52" s="316">
        <v>228285</v>
      </c>
      <c r="M52" s="313">
        <v>0</v>
      </c>
      <c r="N52" s="316">
        <v>256500</v>
      </c>
      <c r="O52" s="313">
        <v>122.37119999999999</v>
      </c>
      <c r="P52" s="316">
        <v>284715</v>
      </c>
      <c r="Q52" s="313">
        <v>0</v>
      </c>
      <c r="R52" s="316">
        <v>31388212.799999997</v>
      </c>
      <c r="S52" s="169" t="s">
        <v>310</v>
      </c>
      <c r="T52" s="177">
        <f>T50</f>
        <v>18.21</v>
      </c>
      <c r="U52" s="169">
        <v>1</v>
      </c>
      <c r="V52" s="169">
        <v>9.6</v>
      </c>
      <c r="W52" s="169" t="s">
        <v>323</v>
      </c>
      <c r="X52" s="193">
        <f t="shared" si="2"/>
        <v>174.816</v>
      </c>
      <c r="Y52" s="169">
        <f t="shared" si="0"/>
        <v>87.408000000000001</v>
      </c>
      <c r="Z52" s="171">
        <f>Z51</f>
        <v>260091</v>
      </c>
      <c r="AA52" s="171">
        <v>0</v>
      </c>
      <c r="AB52" s="171">
        <f>AB51</f>
        <v>296770.5</v>
      </c>
      <c r="AC52" s="171">
        <v>0</v>
      </c>
      <c r="AD52" s="171">
        <f>AD51</f>
        <v>333450</v>
      </c>
      <c r="AE52" s="171">
        <f>Y52</f>
        <v>87.408000000000001</v>
      </c>
      <c r="AF52" s="171">
        <f>AF51</f>
        <v>370129.5</v>
      </c>
      <c r="AG52" s="171">
        <v>0</v>
      </c>
      <c r="AH52" s="172">
        <f>AA52*Z52+AC52*AB52+AE52*AD52+AG52*AF52</f>
        <v>29146197.600000001</v>
      </c>
      <c r="AI52" s="488"/>
    </row>
    <row r="53" spans="1:35" s="200" customFormat="1" ht="16.5" hidden="1" customHeight="1" x14ac:dyDescent="0.25">
      <c r="A53" s="15"/>
      <c r="B53" s="481" t="s">
        <v>9</v>
      </c>
      <c r="C53" s="482"/>
      <c r="D53" s="482"/>
      <c r="E53" s="482"/>
      <c r="F53" s="482"/>
      <c r="G53" s="482"/>
      <c r="H53" s="482"/>
      <c r="I53" s="482"/>
      <c r="J53" s="482"/>
      <c r="K53" s="482"/>
      <c r="L53" s="482"/>
      <c r="M53" s="482"/>
      <c r="N53" s="482"/>
      <c r="O53" s="482"/>
      <c r="P53" s="482"/>
      <c r="Q53" s="482"/>
      <c r="R53" s="482"/>
      <c r="S53" s="482"/>
      <c r="T53" s="482"/>
      <c r="U53" s="482"/>
      <c r="V53" s="482"/>
      <c r="W53" s="483"/>
      <c r="X53" s="196"/>
      <c r="Y53" s="196"/>
      <c r="Z53" s="197"/>
      <c r="AA53" s="196"/>
      <c r="AB53" s="198"/>
      <c r="AC53" s="196"/>
      <c r="AD53" s="197"/>
      <c r="AE53" s="196"/>
      <c r="AF53" s="197"/>
      <c r="AG53" s="196"/>
      <c r="AH53" s="199">
        <f>AH49+AH44+AH27+AH24+AH20+AH8</f>
        <v>968369000.56650019</v>
      </c>
      <c r="AI53" s="195"/>
    </row>
  </sheetData>
  <mergeCells count="29">
    <mergeCell ref="AI9:AI11"/>
    <mergeCell ref="S4:AI4"/>
    <mergeCell ref="AI12:AI19"/>
    <mergeCell ref="AI49:AI52"/>
    <mergeCell ref="AI44:AI48"/>
    <mergeCell ref="AI35:AI43"/>
    <mergeCell ref="AI32:AI34"/>
    <mergeCell ref="AI28:AI31"/>
    <mergeCell ref="AI24:AI26"/>
    <mergeCell ref="AI21:AI23"/>
    <mergeCell ref="AI5:AI6"/>
    <mergeCell ref="B53:W53"/>
    <mergeCell ref="A2:AH2"/>
    <mergeCell ref="Z5:AA5"/>
    <mergeCell ref="AB5:AC5"/>
    <mergeCell ref="AD5:AE5"/>
    <mergeCell ref="AF5:AG5"/>
    <mergeCell ref="AH5:AH6"/>
    <mergeCell ref="Y5:Y6"/>
    <mergeCell ref="B4:B6"/>
    <mergeCell ref="A1:AH1"/>
    <mergeCell ref="S5:S6"/>
    <mergeCell ref="T5:T6"/>
    <mergeCell ref="U5:U6"/>
    <mergeCell ref="V5:V6"/>
    <mergeCell ref="W5:W6"/>
    <mergeCell ref="X5:X6"/>
    <mergeCell ref="A4:A6"/>
    <mergeCell ref="C4:R6"/>
  </mergeCells>
  <printOptions horizontalCentered="1"/>
  <pageMargins left="0.15748031496063" right="0.15748031496063" top="0.511811023622047" bottom="0.27559055118110198" header="0.31496062992126" footer="0.15748031496063"/>
  <pageSetup paperSize="9" scale="9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Q114"/>
  <sheetViews>
    <sheetView workbookViewId="0">
      <selection activeCell="B8" sqref="B8"/>
    </sheetView>
  </sheetViews>
  <sheetFormatPr defaultRowHeight="15" x14ac:dyDescent="0.25"/>
  <cols>
    <col min="1" max="1" width="5" style="72" customWidth="1"/>
    <col min="2" max="2" width="41.28515625" style="71" customWidth="1"/>
    <col min="3" max="3" width="12.5703125" style="71" hidden="1" customWidth="1"/>
    <col min="4" max="4" width="13" style="71" hidden="1" customWidth="1"/>
    <col min="5" max="5" width="14.140625" style="71" hidden="1" customWidth="1"/>
    <col min="6" max="6" width="19.140625" style="71" hidden="1" customWidth="1"/>
    <col min="7" max="7" width="6.5703125" style="71" customWidth="1"/>
    <col min="8" max="8" width="9.140625" style="71" bestFit="1" customWidth="1"/>
    <col min="9" max="9" width="12.85546875" style="71" customWidth="1"/>
    <col min="10" max="10" width="17.7109375" style="71" customWidth="1"/>
    <col min="11" max="11" width="57" style="71" customWidth="1"/>
    <col min="12" max="12" width="4.140625" style="71" customWidth="1"/>
    <col min="13" max="13" width="37.5703125" style="71" customWidth="1"/>
    <col min="14" max="14" width="25.7109375" style="71" customWidth="1"/>
    <col min="15" max="15" width="25" style="71" customWidth="1"/>
    <col min="16" max="16" width="34.85546875" style="365" customWidth="1"/>
    <col min="17" max="17" width="19" style="71" customWidth="1"/>
    <col min="18" max="18" width="9.140625" style="71" customWidth="1"/>
    <col min="19" max="16384" width="9.140625" style="71"/>
  </cols>
  <sheetData>
    <row r="1" spans="1:17" ht="43.5" customHeight="1" x14ac:dyDescent="0.25">
      <c r="A1" s="471" t="s">
        <v>550</v>
      </c>
      <c r="B1" s="471"/>
      <c r="C1" s="471"/>
      <c r="D1" s="471"/>
      <c r="E1" s="471"/>
      <c r="F1" s="471"/>
      <c r="G1" s="471"/>
      <c r="H1" s="471"/>
      <c r="I1" s="471"/>
      <c r="J1" s="471"/>
      <c r="K1" s="471"/>
      <c r="L1" s="471"/>
    </row>
    <row r="2" spans="1:17" ht="15.75" x14ac:dyDescent="0.25">
      <c r="C2" s="73"/>
      <c r="D2" s="73"/>
      <c r="E2" s="73"/>
      <c r="F2" s="73"/>
      <c r="G2" s="327"/>
      <c r="H2" s="327"/>
      <c r="I2" s="327"/>
      <c r="J2" s="327"/>
      <c r="K2" s="106" t="s">
        <v>176</v>
      </c>
    </row>
    <row r="3" spans="1:17" ht="42.75" x14ac:dyDescent="0.25">
      <c r="A3" s="111" t="s">
        <v>0</v>
      </c>
      <c r="B3" s="111" t="s">
        <v>1</v>
      </c>
      <c r="C3" s="74" t="s">
        <v>169</v>
      </c>
      <c r="D3" s="136" t="s">
        <v>112</v>
      </c>
      <c r="E3" s="136" t="s">
        <v>164</v>
      </c>
      <c r="F3" s="75" t="s">
        <v>165</v>
      </c>
      <c r="G3" s="74" t="s">
        <v>169</v>
      </c>
      <c r="H3" s="136" t="s">
        <v>112</v>
      </c>
      <c r="I3" s="136" t="s">
        <v>164</v>
      </c>
      <c r="J3" s="75" t="s">
        <v>165</v>
      </c>
      <c r="K3" s="136" t="s">
        <v>111</v>
      </c>
      <c r="L3" s="77"/>
    </row>
    <row r="4" spans="1:17" ht="28.5" x14ac:dyDescent="0.25">
      <c r="A4" s="78">
        <v>1</v>
      </c>
      <c r="B4" s="111" t="s">
        <v>552</v>
      </c>
      <c r="C4" s="79"/>
      <c r="D4" s="79"/>
      <c r="E4" s="80"/>
      <c r="F4" s="134">
        <f>F5+F9</f>
        <v>2002600000</v>
      </c>
      <c r="G4" s="79"/>
      <c r="H4" s="79"/>
      <c r="I4" s="80"/>
      <c r="J4" s="134">
        <f>J5+J9</f>
        <v>2233600000</v>
      </c>
      <c r="K4" s="76"/>
      <c r="L4" s="81"/>
      <c r="M4" s="71">
        <f>'Biểu 01'!P10*3+'Biểu 01'!P11*3+'Biểu 01'!P20*2+'Biểu 01'!P27*3+'Biểu 01'!P28*2</f>
        <v>4546.720461599999</v>
      </c>
    </row>
    <row r="5" spans="1:17" hidden="1" x14ac:dyDescent="0.25">
      <c r="A5" s="82" t="s">
        <v>145</v>
      </c>
      <c r="B5" s="90"/>
      <c r="C5" s="91"/>
      <c r="D5" s="91"/>
      <c r="E5" s="137"/>
      <c r="F5" s="92">
        <f>SUM(F6:F8)</f>
        <v>418200000</v>
      </c>
      <c r="G5" s="91"/>
      <c r="H5" s="91"/>
      <c r="I5" s="137"/>
      <c r="J5" s="92">
        <f>SUM(J6:J8)</f>
        <v>2233600000</v>
      </c>
      <c r="K5" s="76"/>
      <c r="L5" s="81"/>
    </row>
    <row r="6" spans="1:17" s="85" customFormat="1" ht="45" x14ac:dyDescent="0.25">
      <c r="A6" s="91" t="s">
        <v>131</v>
      </c>
      <c r="B6" s="441" t="s">
        <v>834</v>
      </c>
      <c r="C6" s="83" t="s">
        <v>38</v>
      </c>
      <c r="D6" s="80">
        <f>8*3*17</f>
        <v>408</v>
      </c>
      <c r="E6" s="80">
        <v>200000</v>
      </c>
      <c r="F6" s="84">
        <f t="shared" ref="F6:F12" si="0">E6*D6</f>
        <v>81600000</v>
      </c>
      <c r="G6" s="83" t="s">
        <v>38</v>
      </c>
      <c r="H6" s="442">
        <f>24*11*16</f>
        <v>4224</v>
      </c>
      <c r="I6" s="80">
        <v>150000</v>
      </c>
      <c r="J6" s="84">
        <f>I6*H6</f>
        <v>633600000</v>
      </c>
      <c r="K6" s="76" t="s">
        <v>281</v>
      </c>
      <c r="L6" s="81"/>
      <c r="M6" s="85">
        <f>'Biểu 01'!P10*3+'Biểu 01'!P11*3+'Biểu 01'!P27*3+'Biểu 01'!P20*2+'Biểu 01'!P28*2</f>
        <v>4546.720461599999</v>
      </c>
    </row>
    <row r="7" spans="1:17" s="85" customFormat="1" ht="30" x14ac:dyDescent="0.25">
      <c r="A7" s="91" t="s">
        <v>131</v>
      </c>
      <c r="B7" s="441" t="s">
        <v>835</v>
      </c>
      <c r="C7" s="83" t="s">
        <v>69</v>
      </c>
      <c r="D7" s="80">
        <f>8*2*17</f>
        <v>272</v>
      </c>
      <c r="E7" s="80">
        <v>300000</v>
      </c>
      <c r="F7" s="84">
        <f t="shared" si="0"/>
        <v>81600000</v>
      </c>
      <c r="G7" s="83" t="s">
        <v>69</v>
      </c>
      <c r="H7" s="442">
        <f>24*16*10</f>
        <v>3840</v>
      </c>
      <c r="I7" s="80">
        <v>250000</v>
      </c>
      <c r="J7" s="84">
        <f>I7*H7</f>
        <v>960000000</v>
      </c>
      <c r="K7" s="76" t="s">
        <v>281</v>
      </c>
      <c r="L7" s="81"/>
      <c r="M7" s="339">
        <f>4559/17/24</f>
        <v>11.174019607843137</v>
      </c>
    </row>
    <row r="8" spans="1:17" s="85" customFormat="1" ht="30" x14ac:dyDescent="0.25">
      <c r="A8" s="91" t="s">
        <v>131</v>
      </c>
      <c r="B8" s="441" t="s">
        <v>836</v>
      </c>
      <c r="C8" s="83" t="s">
        <v>38</v>
      </c>
      <c r="D8" s="80">
        <f>2*3*17</f>
        <v>102</v>
      </c>
      <c r="E8" s="80">
        <v>2500000</v>
      </c>
      <c r="F8" s="84">
        <f t="shared" si="0"/>
        <v>255000000</v>
      </c>
      <c r="G8" s="83" t="s">
        <v>38</v>
      </c>
      <c r="H8" s="442">
        <f>4*16*5</f>
        <v>320</v>
      </c>
      <c r="I8" s="80">
        <v>2000000</v>
      </c>
      <c r="J8" s="84">
        <f>I8*H8</f>
        <v>640000000</v>
      </c>
      <c r="K8" s="83"/>
      <c r="L8" s="81"/>
      <c r="M8" s="145"/>
    </row>
    <row r="9" spans="1:17" s="85" customFormat="1" hidden="1" x14ac:dyDescent="0.25">
      <c r="A9" s="82" t="s">
        <v>146</v>
      </c>
      <c r="B9" s="90"/>
      <c r="C9" s="83"/>
      <c r="D9" s="80"/>
      <c r="E9" s="80"/>
      <c r="F9" s="92">
        <f>SUM(F10:F12)</f>
        <v>1584400000</v>
      </c>
      <c r="G9" s="83"/>
      <c r="H9" s="80"/>
      <c r="I9" s="80"/>
      <c r="J9" s="92">
        <f>SUM(J10:J12)</f>
        <v>0</v>
      </c>
      <c r="K9" s="83"/>
      <c r="L9" s="81"/>
    </row>
    <row r="10" spans="1:17" s="85" customFormat="1" ht="30" hidden="1" x14ac:dyDescent="0.25">
      <c r="A10" s="91" t="s">
        <v>131</v>
      </c>
      <c r="B10" s="76" t="s">
        <v>607</v>
      </c>
      <c r="C10" s="83" t="s">
        <v>38</v>
      </c>
      <c r="D10" s="80">
        <f>16*6*17</f>
        <v>1632</v>
      </c>
      <c r="E10" s="80">
        <v>200000</v>
      </c>
      <c r="F10" s="84">
        <f t="shared" si="0"/>
        <v>326400000</v>
      </c>
      <c r="G10" s="83" t="s">
        <v>38</v>
      </c>
      <c r="H10" s="80"/>
      <c r="I10" s="80"/>
      <c r="J10" s="84">
        <f>I10*H10</f>
        <v>0</v>
      </c>
      <c r="K10" s="76"/>
      <c r="L10" s="81"/>
    </row>
    <row r="11" spans="1:17" s="85" customFormat="1" ht="30" hidden="1" x14ac:dyDescent="0.25">
      <c r="A11" s="91" t="s">
        <v>131</v>
      </c>
      <c r="B11" s="76" t="s">
        <v>608</v>
      </c>
      <c r="C11" s="83" t="s">
        <v>69</v>
      </c>
      <c r="D11" s="80">
        <f>16*5*17</f>
        <v>1360</v>
      </c>
      <c r="E11" s="80">
        <v>300000</v>
      </c>
      <c r="F11" s="84">
        <f t="shared" si="0"/>
        <v>408000000</v>
      </c>
      <c r="G11" s="83" t="s">
        <v>69</v>
      </c>
      <c r="H11" s="80"/>
      <c r="I11" s="80"/>
      <c r="J11" s="84">
        <f>I11*H11</f>
        <v>0</v>
      </c>
      <c r="K11" s="76"/>
      <c r="L11" s="81"/>
    </row>
    <row r="12" spans="1:17" s="85" customFormat="1" ht="30" hidden="1" x14ac:dyDescent="0.25">
      <c r="A12" s="91" t="s">
        <v>131</v>
      </c>
      <c r="B12" s="76" t="s">
        <v>166</v>
      </c>
      <c r="C12" s="83" t="s">
        <v>38</v>
      </c>
      <c r="D12" s="80">
        <f>4*5*17</f>
        <v>340</v>
      </c>
      <c r="E12" s="80">
        <v>2500000</v>
      </c>
      <c r="F12" s="84">
        <f t="shared" si="0"/>
        <v>850000000</v>
      </c>
      <c r="G12" s="83" t="s">
        <v>283</v>
      </c>
      <c r="H12" s="80"/>
      <c r="I12" s="80"/>
      <c r="J12" s="84">
        <f>I12*H12</f>
        <v>0</v>
      </c>
      <c r="K12" s="83"/>
      <c r="L12" s="81"/>
      <c r="M12" s="145"/>
    </row>
    <row r="13" spans="1:17" ht="42.75" x14ac:dyDescent="0.25">
      <c r="A13" s="78">
        <v>2</v>
      </c>
      <c r="B13" s="111" t="s">
        <v>567</v>
      </c>
      <c r="C13" s="79"/>
      <c r="D13" s="86"/>
      <c r="E13" s="86"/>
      <c r="F13" s="87">
        <f>SUM(F14:F31)</f>
        <v>15103134000</v>
      </c>
      <c r="G13" s="79"/>
      <c r="H13" s="86"/>
      <c r="I13" s="86"/>
      <c r="J13" s="87">
        <f>SUM(J14:J31)</f>
        <v>15211134000</v>
      </c>
      <c r="K13" s="76" t="s">
        <v>814</v>
      </c>
      <c r="L13" s="81"/>
      <c r="M13" s="269" t="s">
        <v>571</v>
      </c>
      <c r="N13" s="269" t="s">
        <v>601</v>
      </c>
      <c r="O13" s="269" t="s">
        <v>572</v>
      </c>
      <c r="P13" s="269" t="s">
        <v>111</v>
      </c>
    </row>
    <row r="14" spans="1:17" ht="74.25" customHeight="1" x14ac:dyDescent="0.25">
      <c r="A14" s="83" t="s">
        <v>131</v>
      </c>
      <c r="B14" s="76" t="s">
        <v>39</v>
      </c>
      <c r="C14" s="83" t="s">
        <v>40</v>
      </c>
      <c r="D14" s="80">
        <f>ROUND('Số mẫu cần lấy'!J25,0)</f>
        <v>10986</v>
      </c>
      <c r="E14" s="80">
        <f>GiaPhanTich!F5</f>
        <v>245000</v>
      </c>
      <c r="F14" s="84">
        <f>D14*E14</f>
        <v>2691570000</v>
      </c>
      <c r="G14" s="83" t="s">
        <v>40</v>
      </c>
      <c r="H14" s="80">
        <f>D14</f>
        <v>10986</v>
      </c>
      <c r="I14" s="80">
        <v>245000</v>
      </c>
      <c r="J14" s="84">
        <f>H14*I14</f>
        <v>2691570000</v>
      </c>
      <c r="K14" s="381" t="s">
        <v>796</v>
      </c>
      <c r="L14" s="81"/>
      <c r="M14" s="270" t="s">
        <v>574</v>
      </c>
      <c r="N14" s="270" t="s">
        <v>590</v>
      </c>
      <c r="O14" s="270" t="s">
        <v>573</v>
      </c>
      <c r="P14" s="366"/>
      <c r="Q14" s="71">
        <v>245000</v>
      </c>
    </row>
    <row r="15" spans="1:17" ht="30" x14ac:dyDescent="0.25">
      <c r="A15" s="83" t="s">
        <v>131</v>
      </c>
      <c r="B15" s="76" t="s">
        <v>106</v>
      </c>
      <c r="C15" s="83" t="s">
        <v>40</v>
      </c>
      <c r="D15" s="80">
        <f>$D$14</f>
        <v>10986</v>
      </c>
      <c r="E15" s="80">
        <f>GiaPhanTich!F6</f>
        <v>86000</v>
      </c>
      <c r="F15" s="84">
        <f t="shared" ref="F15:F31" si="1">D15*E15</f>
        <v>944796000</v>
      </c>
      <c r="G15" s="83" t="s">
        <v>40</v>
      </c>
      <c r="H15" s="80">
        <f t="shared" ref="H15:H31" si="2">D15</f>
        <v>10986</v>
      </c>
      <c r="I15" s="80">
        <v>86000</v>
      </c>
      <c r="J15" s="84">
        <f t="shared" ref="J15:J31" si="3">H15*I15</f>
        <v>944796000</v>
      </c>
      <c r="K15" s="109" t="s">
        <v>795</v>
      </c>
      <c r="L15" s="81"/>
      <c r="M15" s="367" t="s">
        <v>251</v>
      </c>
      <c r="N15" s="367" t="s">
        <v>251</v>
      </c>
      <c r="O15" s="270" t="s">
        <v>589</v>
      </c>
      <c r="P15" s="366"/>
      <c r="Q15" s="71">
        <v>86000</v>
      </c>
    </row>
    <row r="16" spans="1:17" ht="75" x14ac:dyDescent="0.25">
      <c r="A16" s="83" t="s">
        <v>131</v>
      </c>
      <c r="B16" s="76" t="s">
        <v>41</v>
      </c>
      <c r="C16" s="83" t="s">
        <v>40</v>
      </c>
      <c r="D16" s="80">
        <f t="shared" ref="D16:D21" si="4">$D$14</f>
        <v>10986</v>
      </c>
      <c r="E16" s="80">
        <f>GiaPhanTich!F7</f>
        <v>155000</v>
      </c>
      <c r="F16" s="84">
        <f t="shared" si="1"/>
        <v>1702830000</v>
      </c>
      <c r="G16" s="83" t="s">
        <v>40</v>
      </c>
      <c r="H16" s="80">
        <f t="shared" si="2"/>
        <v>10986</v>
      </c>
      <c r="I16" s="80">
        <v>155000</v>
      </c>
      <c r="J16" s="84">
        <f t="shared" si="3"/>
        <v>1702830000</v>
      </c>
      <c r="K16" s="381" t="s">
        <v>797</v>
      </c>
      <c r="L16" s="81"/>
      <c r="M16" s="270" t="s">
        <v>575</v>
      </c>
      <c r="N16" s="270" t="s">
        <v>598</v>
      </c>
      <c r="O16" s="270" t="s">
        <v>586</v>
      </c>
      <c r="P16" s="366"/>
      <c r="Q16" s="71">
        <v>155000</v>
      </c>
    </row>
    <row r="17" spans="1:17" ht="75" x14ac:dyDescent="0.25">
      <c r="A17" s="83" t="s">
        <v>131</v>
      </c>
      <c r="B17" s="76" t="s">
        <v>70</v>
      </c>
      <c r="C17" s="83" t="s">
        <v>40</v>
      </c>
      <c r="D17" s="80">
        <f t="shared" si="4"/>
        <v>10986</v>
      </c>
      <c r="E17" s="80">
        <f>GiaPhanTich!F8</f>
        <v>158000</v>
      </c>
      <c r="F17" s="84">
        <f t="shared" si="1"/>
        <v>1735788000</v>
      </c>
      <c r="G17" s="83" t="s">
        <v>40</v>
      </c>
      <c r="H17" s="80">
        <f t="shared" si="2"/>
        <v>10986</v>
      </c>
      <c r="I17" s="80">
        <v>158000</v>
      </c>
      <c r="J17" s="84">
        <f t="shared" si="3"/>
        <v>1735788000</v>
      </c>
      <c r="K17" s="381" t="s">
        <v>798</v>
      </c>
      <c r="L17" s="81"/>
      <c r="M17" s="270" t="s">
        <v>576</v>
      </c>
      <c r="N17" s="270" t="s">
        <v>599</v>
      </c>
      <c r="O17" s="270" t="s">
        <v>587</v>
      </c>
      <c r="P17" s="366"/>
      <c r="Q17" s="71">
        <v>158000</v>
      </c>
    </row>
    <row r="18" spans="1:17" ht="75" x14ac:dyDescent="0.25">
      <c r="A18" s="83" t="s">
        <v>131</v>
      </c>
      <c r="B18" s="76" t="s">
        <v>71</v>
      </c>
      <c r="C18" s="83" t="s">
        <v>40</v>
      </c>
      <c r="D18" s="80">
        <f t="shared" si="4"/>
        <v>10986</v>
      </c>
      <c r="E18" s="80">
        <f>GiaPhanTich!F9</f>
        <v>165000</v>
      </c>
      <c r="F18" s="84">
        <f t="shared" si="1"/>
        <v>1812690000</v>
      </c>
      <c r="G18" s="83" t="s">
        <v>40</v>
      </c>
      <c r="H18" s="80">
        <f t="shared" si="2"/>
        <v>10986</v>
      </c>
      <c r="I18" s="80">
        <v>165000</v>
      </c>
      <c r="J18" s="84">
        <f t="shared" si="3"/>
        <v>1812690000</v>
      </c>
      <c r="K18" s="381" t="s">
        <v>799</v>
      </c>
      <c r="L18" s="81"/>
      <c r="M18" s="270" t="s">
        <v>577</v>
      </c>
      <c r="N18" s="270" t="s">
        <v>600</v>
      </c>
      <c r="O18" s="270" t="s">
        <v>588</v>
      </c>
      <c r="P18" s="366"/>
      <c r="Q18" s="71">
        <v>165000</v>
      </c>
    </row>
    <row r="19" spans="1:17" ht="16.5" x14ac:dyDescent="0.25">
      <c r="A19" s="83" t="s">
        <v>131</v>
      </c>
      <c r="B19" s="76" t="s">
        <v>107</v>
      </c>
      <c r="C19" s="83" t="s">
        <v>40</v>
      </c>
      <c r="D19" s="80">
        <f t="shared" si="4"/>
        <v>10986</v>
      </c>
      <c r="E19" s="80">
        <f>GiaPhanTich!F10</f>
        <v>130000</v>
      </c>
      <c r="F19" s="84">
        <f t="shared" si="1"/>
        <v>1428180000</v>
      </c>
      <c r="G19" s="83" t="s">
        <v>40</v>
      </c>
      <c r="H19" s="80">
        <f t="shared" si="2"/>
        <v>10986</v>
      </c>
      <c r="I19" s="80">
        <v>130000</v>
      </c>
      <c r="J19" s="84">
        <f t="shared" si="3"/>
        <v>1428180000</v>
      </c>
      <c r="K19" s="109"/>
      <c r="L19" s="81"/>
      <c r="M19" s="367" t="s">
        <v>251</v>
      </c>
      <c r="N19" s="367" t="s">
        <v>251</v>
      </c>
      <c r="O19" s="367" t="s">
        <v>251</v>
      </c>
      <c r="P19" s="368" t="s">
        <v>242</v>
      </c>
      <c r="Q19" s="71">
        <v>130000</v>
      </c>
    </row>
    <row r="20" spans="1:17" ht="16.5" x14ac:dyDescent="0.25">
      <c r="A20" s="83" t="s">
        <v>131</v>
      </c>
      <c r="B20" s="76" t="s">
        <v>108</v>
      </c>
      <c r="C20" s="83" t="s">
        <v>40</v>
      </c>
      <c r="D20" s="80">
        <f t="shared" si="4"/>
        <v>10986</v>
      </c>
      <c r="E20" s="80">
        <f>GiaPhanTich!F11</f>
        <v>140000</v>
      </c>
      <c r="F20" s="84">
        <f t="shared" si="1"/>
        <v>1538040000</v>
      </c>
      <c r="G20" s="83" t="s">
        <v>40</v>
      </c>
      <c r="H20" s="80">
        <f t="shared" si="2"/>
        <v>10986</v>
      </c>
      <c r="I20" s="80">
        <v>140000</v>
      </c>
      <c r="J20" s="84">
        <f t="shared" si="3"/>
        <v>1538040000</v>
      </c>
      <c r="K20" s="109"/>
      <c r="L20" s="81"/>
      <c r="M20" s="367" t="s">
        <v>251</v>
      </c>
      <c r="N20" s="367" t="s">
        <v>251</v>
      </c>
      <c r="O20" s="367" t="s">
        <v>251</v>
      </c>
      <c r="P20" s="368" t="s">
        <v>243</v>
      </c>
      <c r="Q20" s="71">
        <v>140000</v>
      </c>
    </row>
    <row r="21" spans="1:17" ht="30" x14ac:dyDescent="0.25">
      <c r="A21" s="83" t="s">
        <v>131</v>
      </c>
      <c r="B21" s="76" t="s">
        <v>143</v>
      </c>
      <c r="C21" s="83" t="s">
        <v>40</v>
      </c>
      <c r="D21" s="80">
        <f t="shared" si="4"/>
        <v>10986</v>
      </c>
      <c r="E21" s="80">
        <f>GiaPhanTich!F12</f>
        <v>140000</v>
      </c>
      <c r="F21" s="84">
        <f t="shared" si="1"/>
        <v>1538040000</v>
      </c>
      <c r="G21" s="83" t="s">
        <v>40</v>
      </c>
      <c r="H21" s="80">
        <f t="shared" si="2"/>
        <v>10986</v>
      </c>
      <c r="I21" s="80">
        <v>140000</v>
      </c>
      <c r="J21" s="84">
        <f t="shared" si="3"/>
        <v>1538040000</v>
      </c>
      <c r="K21" s="109" t="s">
        <v>800</v>
      </c>
      <c r="L21" s="81"/>
      <c r="M21" s="367" t="s">
        <v>251</v>
      </c>
      <c r="N21" s="367" t="s">
        <v>251</v>
      </c>
      <c r="O21" s="270" t="s">
        <v>585</v>
      </c>
      <c r="P21" s="366"/>
      <c r="Q21" s="71">
        <v>140000</v>
      </c>
    </row>
    <row r="22" spans="1:17" ht="60" x14ac:dyDescent="0.25">
      <c r="A22" s="83" t="s">
        <v>131</v>
      </c>
      <c r="B22" s="76" t="s">
        <v>142</v>
      </c>
      <c r="C22" s="83" t="s">
        <v>40</v>
      </c>
      <c r="D22" s="80">
        <v>960</v>
      </c>
      <c r="E22" s="80">
        <f>GiaPhanTich!F13</f>
        <v>130000</v>
      </c>
      <c r="F22" s="84">
        <f t="shared" si="1"/>
        <v>124800000</v>
      </c>
      <c r="G22" s="83" t="s">
        <v>40</v>
      </c>
      <c r="H22" s="80">
        <f t="shared" si="2"/>
        <v>960</v>
      </c>
      <c r="I22" s="80">
        <v>130000</v>
      </c>
      <c r="J22" s="84">
        <f t="shared" si="3"/>
        <v>124800000</v>
      </c>
      <c r="K22" s="381" t="s">
        <v>801</v>
      </c>
      <c r="L22" s="81"/>
      <c r="M22" s="270" t="s">
        <v>578</v>
      </c>
      <c r="N22" s="270" t="s">
        <v>591</v>
      </c>
      <c r="O22" s="270"/>
      <c r="P22" s="366"/>
      <c r="Q22" s="71">
        <v>130000</v>
      </c>
    </row>
    <row r="23" spans="1:17" ht="60" x14ac:dyDescent="0.25">
      <c r="A23" s="83" t="s">
        <v>131</v>
      </c>
      <c r="B23" s="369" t="s">
        <v>141</v>
      </c>
      <c r="C23" s="83" t="s">
        <v>40</v>
      </c>
      <c r="D23" s="80">
        <v>960</v>
      </c>
      <c r="E23" s="80">
        <f>GiaPhanTich!F14</f>
        <v>12500</v>
      </c>
      <c r="F23" s="84">
        <f t="shared" si="1"/>
        <v>12000000</v>
      </c>
      <c r="G23" s="83" t="s">
        <v>40</v>
      </c>
      <c r="H23" s="80">
        <f t="shared" si="2"/>
        <v>960</v>
      </c>
      <c r="I23" s="80">
        <v>125000</v>
      </c>
      <c r="J23" s="84">
        <f t="shared" si="3"/>
        <v>120000000</v>
      </c>
      <c r="K23" s="381" t="s">
        <v>802</v>
      </c>
      <c r="L23" s="81"/>
      <c r="M23" s="270" t="s">
        <v>579</v>
      </c>
      <c r="N23" s="270" t="s">
        <v>592</v>
      </c>
      <c r="O23" s="270"/>
      <c r="P23" s="366"/>
      <c r="Q23" s="71">
        <v>125000</v>
      </c>
    </row>
    <row r="24" spans="1:17" ht="60" x14ac:dyDescent="0.25">
      <c r="A24" s="83" t="s">
        <v>131</v>
      </c>
      <c r="B24" s="369" t="s">
        <v>72</v>
      </c>
      <c r="C24" s="83" t="s">
        <v>40</v>
      </c>
      <c r="D24" s="80">
        <v>960</v>
      </c>
      <c r="E24" s="80">
        <f>GiaPhanTich!F15</f>
        <v>95000</v>
      </c>
      <c r="F24" s="84">
        <f t="shared" si="1"/>
        <v>91200000</v>
      </c>
      <c r="G24" s="83" t="s">
        <v>40</v>
      </c>
      <c r="H24" s="80">
        <f t="shared" si="2"/>
        <v>960</v>
      </c>
      <c r="I24" s="80">
        <v>95000</v>
      </c>
      <c r="J24" s="84">
        <f t="shared" si="3"/>
        <v>91200000</v>
      </c>
      <c r="K24" s="381" t="s">
        <v>803</v>
      </c>
      <c r="L24" s="81"/>
      <c r="M24" s="270" t="s">
        <v>580</v>
      </c>
      <c r="N24" s="270" t="s">
        <v>594</v>
      </c>
      <c r="O24" s="270"/>
      <c r="P24" s="366"/>
      <c r="Q24" s="71">
        <v>95000</v>
      </c>
    </row>
    <row r="25" spans="1:17" ht="60" x14ac:dyDescent="0.25">
      <c r="A25" s="83" t="s">
        <v>131</v>
      </c>
      <c r="B25" s="76" t="s">
        <v>73</v>
      </c>
      <c r="C25" s="83" t="s">
        <v>40</v>
      </c>
      <c r="D25" s="80">
        <v>960</v>
      </c>
      <c r="E25" s="80">
        <f>GiaPhanTich!F16</f>
        <v>150000</v>
      </c>
      <c r="F25" s="84">
        <f t="shared" si="1"/>
        <v>144000000</v>
      </c>
      <c r="G25" s="83" t="s">
        <v>40</v>
      </c>
      <c r="H25" s="80">
        <f t="shared" si="2"/>
        <v>960</v>
      </c>
      <c r="I25" s="80">
        <v>150000</v>
      </c>
      <c r="J25" s="84">
        <f t="shared" si="3"/>
        <v>144000000</v>
      </c>
      <c r="K25" s="381" t="s">
        <v>804</v>
      </c>
      <c r="L25" s="81"/>
      <c r="M25" s="270" t="s">
        <v>581</v>
      </c>
      <c r="N25" s="270" t="s">
        <v>593</v>
      </c>
      <c r="O25" s="270"/>
      <c r="P25" s="366"/>
      <c r="Q25" s="71">
        <v>150000</v>
      </c>
    </row>
    <row r="26" spans="1:17" x14ac:dyDescent="0.25">
      <c r="A26" s="83" t="s">
        <v>131</v>
      </c>
      <c r="B26" s="369" t="s">
        <v>42</v>
      </c>
      <c r="C26" s="83" t="s">
        <v>40</v>
      </c>
      <c r="D26" s="80">
        <v>960</v>
      </c>
      <c r="E26" s="80">
        <f>GiaPhanTich!F17</f>
        <v>150000</v>
      </c>
      <c r="F26" s="84">
        <f t="shared" si="1"/>
        <v>144000000</v>
      </c>
      <c r="G26" s="83" t="s">
        <v>40</v>
      </c>
      <c r="H26" s="80">
        <f t="shared" si="2"/>
        <v>960</v>
      </c>
      <c r="I26" s="80">
        <v>150000</v>
      </c>
      <c r="J26" s="84">
        <f t="shared" si="3"/>
        <v>144000000</v>
      </c>
      <c r="K26" s="109"/>
      <c r="L26" s="81"/>
      <c r="M26" s="367" t="s">
        <v>251</v>
      </c>
      <c r="N26" s="367" t="s">
        <v>251</v>
      </c>
      <c r="O26" s="367" t="s">
        <v>251</v>
      </c>
      <c r="P26" s="368" t="s">
        <v>246</v>
      </c>
      <c r="Q26" s="71">
        <v>150000</v>
      </c>
    </row>
    <row r="27" spans="1:17" ht="60" x14ac:dyDescent="0.25">
      <c r="A27" s="83" t="s">
        <v>131</v>
      </c>
      <c r="B27" s="76" t="s">
        <v>43</v>
      </c>
      <c r="C27" s="83" t="s">
        <v>40</v>
      </c>
      <c r="D27" s="80">
        <v>960</v>
      </c>
      <c r="E27" s="80">
        <f>GiaPhanTich!F18</f>
        <v>265000</v>
      </c>
      <c r="F27" s="84">
        <f t="shared" si="1"/>
        <v>254400000</v>
      </c>
      <c r="G27" s="83" t="s">
        <v>40</v>
      </c>
      <c r="H27" s="80">
        <f t="shared" si="2"/>
        <v>960</v>
      </c>
      <c r="I27" s="80">
        <v>265000</v>
      </c>
      <c r="J27" s="84">
        <f t="shared" si="3"/>
        <v>254400000</v>
      </c>
      <c r="K27" s="381" t="s">
        <v>805</v>
      </c>
      <c r="L27" s="81"/>
      <c r="M27" s="270" t="s">
        <v>582</v>
      </c>
      <c r="N27" s="270" t="s">
        <v>595</v>
      </c>
      <c r="O27" s="270"/>
      <c r="P27" s="366"/>
      <c r="Q27" s="71">
        <v>265000</v>
      </c>
    </row>
    <row r="28" spans="1:17" ht="60" x14ac:dyDescent="0.25">
      <c r="A28" s="83" t="s">
        <v>131</v>
      </c>
      <c r="B28" s="76" t="s">
        <v>44</v>
      </c>
      <c r="C28" s="83" t="s">
        <v>40</v>
      </c>
      <c r="D28" s="80">
        <v>960</v>
      </c>
      <c r="E28" s="80">
        <f>GiaPhanTich!F19</f>
        <v>225000</v>
      </c>
      <c r="F28" s="84">
        <f t="shared" si="1"/>
        <v>216000000</v>
      </c>
      <c r="G28" s="83" t="s">
        <v>40</v>
      </c>
      <c r="H28" s="80">
        <f t="shared" si="2"/>
        <v>960</v>
      </c>
      <c r="I28" s="80">
        <v>225000</v>
      </c>
      <c r="J28" s="84">
        <f t="shared" si="3"/>
        <v>216000000</v>
      </c>
      <c r="K28" s="381" t="s">
        <v>806</v>
      </c>
      <c r="L28" s="81"/>
      <c r="M28" s="270" t="s">
        <v>583</v>
      </c>
      <c r="N28" s="270" t="s">
        <v>596</v>
      </c>
      <c r="O28" s="270"/>
      <c r="P28" s="366"/>
      <c r="Q28" s="71">
        <v>225000</v>
      </c>
    </row>
    <row r="29" spans="1:17" x14ac:dyDescent="0.25">
      <c r="A29" s="83" t="s">
        <v>131</v>
      </c>
      <c r="B29" s="76" t="s">
        <v>45</v>
      </c>
      <c r="C29" s="83" t="s">
        <v>40</v>
      </c>
      <c r="D29" s="80">
        <v>960</v>
      </c>
      <c r="E29" s="80">
        <f>GiaPhanTich!F20</f>
        <v>225000</v>
      </c>
      <c r="F29" s="84">
        <f t="shared" si="1"/>
        <v>216000000</v>
      </c>
      <c r="G29" s="83" t="s">
        <v>40</v>
      </c>
      <c r="H29" s="80">
        <f t="shared" si="2"/>
        <v>960</v>
      </c>
      <c r="I29" s="80">
        <v>225000</v>
      </c>
      <c r="J29" s="84">
        <f t="shared" si="3"/>
        <v>216000000</v>
      </c>
      <c r="K29" s="109"/>
      <c r="L29" s="81"/>
      <c r="M29" s="367" t="s">
        <v>251</v>
      </c>
      <c r="N29" s="367" t="s">
        <v>251</v>
      </c>
      <c r="O29" s="367" t="s">
        <v>251</v>
      </c>
      <c r="P29" s="368" t="s">
        <v>244</v>
      </c>
      <c r="Q29" s="71">
        <v>225000</v>
      </c>
    </row>
    <row r="30" spans="1:17" ht="60" x14ac:dyDescent="0.25">
      <c r="A30" s="83" t="s">
        <v>131</v>
      </c>
      <c r="B30" s="76" t="s">
        <v>684</v>
      </c>
      <c r="C30" s="83" t="s">
        <v>40</v>
      </c>
      <c r="D30" s="80">
        <v>960</v>
      </c>
      <c r="E30" s="80">
        <f>GiaPhanTich!F21</f>
        <v>265000</v>
      </c>
      <c r="F30" s="84">
        <f t="shared" si="1"/>
        <v>254400000</v>
      </c>
      <c r="G30" s="83" t="s">
        <v>40</v>
      </c>
      <c r="H30" s="80">
        <f t="shared" si="2"/>
        <v>960</v>
      </c>
      <c r="I30" s="80">
        <v>265000</v>
      </c>
      <c r="J30" s="84">
        <f t="shared" si="3"/>
        <v>254400000</v>
      </c>
      <c r="K30" s="381" t="s">
        <v>807</v>
      </c>
      <c r="L30" s="81"/>
      <c r="M30" s="270" t="s">
        <v>584</v>
      </c>
      <c r="N30" s="270" t="s">
        <v>597</v>
      </c>
      <c r="O30" s="270"/>
      <c r="P30" s="366"/>
      <c r="Q30" s="71">
        <v>265000</v>
      </c>
    </row>
    <row r="31" spans="1:17" x14ac:dyDescent="0.25">
      <c r="A31" s="83" t="s">
        <v>131</v>
      </c>
      <c r="B31" s="76" t="s">
        <v>224</v>
      </c>
      <c r="C31" s="83" t="s">
        <v>40</v>
      </c>
      <c r="D31" s="80">
        <v>960</v>
      </c>
      <c r="E31" s="80">
        <f>GiaPhanTich!F22</f>
        <v>265000</v>
      </c>
      <c r="F31" s="84">
        <f t="shared" si="1"/>
        <v>254400000</v>
      </c>
      <c r="G31" s="83" t="s">
        <v>40</v>
      </c>
      <c r="H31" s="80">
        <f t="shared" si="2"/>
        <v>960</v>
      </c>
      <c r="I31" s="80">
        <v>265000</v>
      </c>
      <c r="J31" s="84">
        <f t="shared" si="3"/>
        <v>254400000</v>
      </c>
      <c r="K31" s="109"/>
      <c r="L31" s="81"/>
      <c r="M31" s="367" t="s">
        <v>251</v>
      </c>
      <c r="N31" s="367" t="s">
        <v>251</v>
      </c>
      <c r="O31" s="367" t="s">
        <v>251</v>
      </c>
      <c r="P31" s="368" t="s">
        <v>245</v>
      </c>
      <c r="Q31" s="71">
        <v>265000</v>
      </c>
    </row>
    <row r="32" spans="1:17" s="89" customFormat="1" ht="28.5" x14ac:dyDescent="0.25">
      <c r="A32" s="78">
        <v>3</v>
      </c>
      <c r="B32" s="111" t="s">
        <v>178</v>
      </c>
      <c r="C32" s="79"/>
      <c r="D32" s="86"/>
      <c r="E32" s="86"/>
      <c r="F32" s="134">
        <f>F33+F60+F72</f>
        <v>792650000</v>
      </c>
      <c r="G32" s="79"/>
      <c r="H32" s="86"/>
      <c r="I32" s="86"/>
      <c r="J32" s="134">
        <f>J33+J60+J72</f>
        <v>364850000</v>
      </c>
      <c r="K32" s="76"/>
      <c r="L32" s="81"/>
    </row>
    <row r="33" spans="1:15" ht="80.25" customHeight="1" x14ac:dyDescent="0.25">
      <c r="A33" s="82" t="s">
        <v>333</v>
      </c>
      <c r="B33" s="443" t="s">
        <v>837</v>
      </c>
      <c r="C33" s="444"/>
      <c r="D33" s="445"/>
      <c r="E33" s="446"/>
      <c r="F33" s="447">
        <f>SUM(F35:F47)</f>
        <v>473150000</v>
      </c>
      <c r="G33" s="444"/>
      <c r="H33" s="445">
        <v>16</v>
      </c>
      <c r="I33" s="372">
        <f>J34</f>
        <v>12900000</v>
      </c>
      <c r="J33" s="371">
        <f>H33*I33</f>
        <v>206400000</v>
      </c>
      <c r="K33" s="76"/>
      <c r="L33" s="81"/>
      <c r="O33" s="144"/>
    </row>
    <row r="34" spans="1:15" ht="26.25" customHeight="1" x14ac:dyDescent="0.25">
      <c r="A34" s="82" t="s">
        <v>786</v>
      </c>
      <c r="B34" s="90" t="s">
        <v>676</v>
      </c>
      <c r="C34" s="370"/>
      <c r="D34" s="98"/>
      <c r="E34" s="99"/>
      <c r="F34" s="371"/>
      <c r="G34" s="370"/>
      <c r="H34" s="98"/>
      <c r="I34" s="99"/>
      <c r="J34" s="371">
        <f>SUM(J35:J47)</f>
        <v>12900000</v>
      </c>
      <c r="K34" s="76"/>
      <c r="L34" s="81"/>
      <c r="O34" s="144"/>
    </row>
    <row r="35" spans="1:15" ht="12.75" hidden="1" customHeight="1" x14ac:dyDescent="0.25">
      <c r="A35" s="78"/>
      <c r="B35" s="76" t="s">
        <v>276</v>
      </c>
      <c r="C35" s="79" t="s">
        <v>170</v>
      </c>
      <c r="D35" s="86">
        <v>17</v>
      </c>
      <c r="E35" s="88">
        <v>1600000</v>
      </c>
      <c r="F35" s="84">
        <f>D35*E35</f>
        <v>27200000</v>
      </c>
      <c r="G35" s="79"/>
      <c r="H35" s="86"/>
      <c r="I35" s="88"/>
      <c r="J35" s="84">
        <f>H35*I35</f>
        <v>0</v>
      </c>
      <c r="K35" s="76"/>
      <c r="L35" s="81"/>
    </row>
    <row r="36" spans="1:15" hidden="1" x14ac:dyDescent="0.25">
      <c r="A36" s="78"/>
      <c r="B36" s="76" t="s">
        <v>47</v>
      </c>
      <c r="C36" s="79" t="s">
        <v>170</v>
      </c>
      <c r="D36" s="86">
        <v>17</v>
      </c>
      <c r="E36" s="88">
        <v>400000</v>
      </c>
      <c r="F36" s="84">
        <f t="shared" ref="F36:F47" si="5">D36*E36</f>
        <v>6800000</v>
      </c>
      <c r="G36" s="79"/>
      <c r="H36" s="86"/>
      <c r="I36" s="88"/>
      <c r="J36" s="84">
        <f t="shared" ref="J36:J47" si="6">H36*I36</f>
        <v>0</v>
      </c>
      <c r="K36" s="76"/>
      <c r="L36" s="81"/>
    </row>
    <row r="37" spans="1:15" ht="102" customHeight="1" x14ac:dyDescent="0.25">
      <c r="A37" s="361" t="s">
        <v>131</v>
      </c>
      <c r="B37" s="76" t="s">
        <v>273</v>
      </c>
      <c r="C37" s="79" t="s">
        <v>170</v>
      </c>
      <c r="D37" s="86">
        <v>17</v>
      </c>
      <c r="E37" s="88">
        <v>2400000</v>
      </c>
      <c r="F37" s="84">
        <f>D37*E37</f>
        <v>40800000</v>
      </c>
      <c r="G37" s="79" t="s">
        <v>46</v>
      </c>
      <c r="H37" s="86">
        <v>1</v>
      </c>
      <c r="I37" s="88">
        <v>2000000</v>
      </c>
      <c r="J37" s="84">
        <f>H37*I37</f>
        <v>2000000</v>
      </c>
      <c r="K37" s="76" t="s">
        <v>809</v>
      </c>
      <c r="L37" s="81"/>
    </row>
    <row r="38" spans="1:15" ht="30" hidden="1" x14ac:dyDescent="0.25">
      <c r="A38" s="361" t="s">
        <v>131</v>
      </c>
      <c r="B38" s="76" t="s">
        <v>275</v>
      </c>
      <c r="C38" s="79" t="s">
        <v>274</v>
      </c>
      <c r="D38" s="86">
        <f>D37*2</f>
        <v>34</v>
      </c>
      <c r="E38" s="88">
        <v>1200000</v>
      </c>
      <c r="F38" s="84">
        <f>D38*E38</f>
        <v>40800000</v>
      </c>
      <c r="G38" s="79" t="s">
        <v>274</v>
      </c>
      <c r="H38" s="86"/>
      <c r="I38" s="88"/>
      <c r="J38" s="84">
        <f>H38*I38</f>
        <v>0</v>
      </c>
      <c r="K38" s="76"/>
      <c r="L38" s="81"/>
    </row>
    <row r="39" spans="1:15" hidden="1" x14ac:dyDescent="0.25">
      <c r="A39" s="361" t="s">
        <v>131</v>
      </c>
      <c r="B39" s="76" t="s">
        <v>277</v>
      </c>
      <c r="C39" s="79" t="s">
        <v>46</v>
      </c>
      <c r="D39" s="86">
        <f>17*30</f>
        <v>510</v>
      </c>
      <c r="E39" s="88">
        <v>240000</v>
      </c>
      <c r="F39" s="84">
        <f t="shared" si="5"/>
        <v>122400000</v>
      </c>
      <c r="G39" s="79" t="s">
        <v>46</v>
      </c>
      <c r="H39" s="86"/>
      <c r="I39" s="88"/>
      <c r="J39" s="84">
        <f t="shared" si="6"/>
        <v>0</v>
      </c>
      <c r="K39" s="76"/>
      <c r="L39" s="81"/>
    </row>
    <row r="40" spans="1:15" x14ac:dyDescent="0.25">
      <c r="A40" s="361" t="s">
        <v>131</v>
      </c>
      <c r="B40" s="76" t="s">
        <v>48</v>
      </c>
      <c r="C40" s="79" t="s">
        <v>49</v>
      </c>
      <c r="D40" s="86">
        <f>D39</f>
        <v>510</v>
      </c>
      <c r="E40" s="88">
        <v>50000</v>
      </c>
      <c r="F40" s="84">
        <f t="shared" si="5"/>
        <v>25500000</v>
      </c>
      <c r="G40" s="79" t="s">
        <v>49</v>
      </c>
      <c r="H40" s="86">
        <v>30</v>
      </c>
      <c r="I40" s="88">
        <v>50000</v>
      </c>
      <c r="J40" s="84">
        <f t="shared" si="6"/>
        <v>1500000</v>
      </c>
      <c r="K40" s="76"/>
      <c r="L40" s="81"/>
    </row>
    <row r="41" spans="1:15" x14ac:dyDescent="0.25">
      <c r="A41" s="361" t="s">
        <v>131</v>
      </c>
      <c r="B41" s="76" t="s">
        <v>50</v>
      </c>
      <c r="C41" s="79" t="s">
        <v>46</v>
      </c>
      <c r="D41" s="86">
        <f>D39</f>
        <v>510</v>
      </c>
      <c r="E41" s="88">
        <v>20000</v>
      </c>
      <c r="F41" s="84">
        <f t="shared" si="5"/>
        <v>10200000</v>
      </c>
      <c r="G41" s="79" t="s">
        <v>46</v>
      </c>
      <c r="H41" s="86">
        <v>30</v>
      </c>
      <c r="I41" s="88">
        <v>20000</v>
      </c>
      <c r="J41" s="84">
        <f t="shared" si="6"/>
        <v>600000</v>
      </c>
      <c r="K41" s="76" t="s">
        <v>281</v>
      </c>
      <c r="L41" s="81"/>
    </row>
    <row r="42" spans="1:15" ht="15.75" hidden="1" customHeight="1" x14ac:dyDescent="0.25">
      <c r="A42" s="361" t="s">
        <v>131</v>
      </c>
      <c r="B42" s="95" t="s">
        <v>173</v>
      </c>
      <c r="C42" s="96" t="s">
        <v>46</v>
      </c>
      <c r="D42" s="86">
        <f>D39</f>
        <v>510</v>
      </c>
      <c r="E42" s="88">
        <v>100000</v>
      </c>
      <c r="F42" s="84">
        <f t="shared" si="5"/>
        <v>51000000</v>
      </c>
      <c r="G42" s="96" t="s">
        <v>46</v>
      </c>
      <c r="H42" s="86">
        <v>30</v>
      </c>
      <c r="I42" s="88">
        <v>100000</v>
      </c>
      <c r="J42" s="84"/>
      <c r="K42" s="76"/>
      <c r="L42" s="81"/>
    </row>
    <row r="43" spans="1:15" hidden="1" x14ac:dyDescent="0.25">
      <c r="A43" s="361" t="s">
        <v>131</v>
      </c>
      <c r="B43" s="95" t="s">
        <v>172</v>
      </c>
      <c r="C43" s="96" t="s">
        <v>46</v>
      </c>
      <c r="D43" s="86">
        <f>D39</f>
        <v>510</v>
      </c>
      <c r="E43" s="88">
        <v>50000</v>
      </c>
      <c r="F43" s="84">
        <f t="shared" si="5"/>
        <v>25500000</v>
      </c>
      <c r="G43" s="96" t="s">
        <v>46</v>
      </c>
      <c r="H43" s="86"/>
      <c r="I43" s="88">
        <v>50000</v>
      </c>
      <c r="J43" s="84">
        <f t="shared" si="6"/>
        <v>0</v>
      </c>
      <c r="K43" s="76"/>
      <c r="L43" s="81"/>
    </row>
    <row r="44" spans="1:15" x14ac:dyDescent="0.25">
      <c r="A44" s="361" t="s">
        <v>131</v>
      </c>
      <c r="B44" s="95" t="s">
        <v>808</v>
      </c>
      <c r="C44" s="96" t="s">
        <v>38</v>
      </c>
      <c r="D44" s="86">
        <v>19</v>
      </c>
      <c r="E44" s="88">
        <v>1850000</v>
      </c>
      <c r="F44" s="84">
        <f t="shared" si="5"/>
        <v>35150000</v>
      </c>
      <c r="G44" s="96" t="s">
        <v>38</v>
      </c>
      <c r="H44" s="86">
        <v>2</v>
      </c>
      <c r="I44" s="88">
        <v>2000000</v>
      </c>
      <c r="J44" s="84">
        <f t="shared" si="6"/>
        <v>4000000</v>
      </c>
      <c r="K44" s="76"/>
      <c r="L44" s="81"/>
    </row>
    <row r="45" spans="1:15" x14ac:dyDescent="0.25">
      <c r="A45" s="361" t="s">
        <v>131</v>
      </c>
      <c r="B45" s="95" t="s">
        <v>677</v>
      </c>
      <c r="C45" s="96" t="s">
        <v>38</v>
      </c>
      <c r="D45" s="86">
        <f>4*19</f>
        <v>76</v>
      </c>
      <c r="E45" s="88">
        <v>200000</v>
      </c>
      <c r="F45" s="84">
        <f t="shared" si="5"/>
        <v>15200000</v>
      </c>
      <c r="G45" s="96" t="s">
        <v>38</v>
      </c>
      <c r="H45" s="86">
        <f>2*4</f>
        <v>8</v>
      </c>
      <c r="I45" s="88">
        <v>200000</v>
      </c>
      <c r="J45" s="84">
        <f t="shared" si="6"/>
        <v>1600000</v>
      </c>
      <c r="K45" s="76" t="s">
        <v>281</v>
      </c>
      <c r="L45" s="81"/>
    </row>
    <row r="46" spans="1:15" x14ac:dyDescent="0.25">
      <c r="A46" s="361" t="s">
        <v>131</v>
      </c>
      <c r="B46" s="95" t="s">
        <v>678</v>
      </c>
      <c r="C46" s="96" t="s">
        <v>69</v>
      </c>
      <c r="D46" s="86">
        <f>4*18</f>
        <v>72</v>
      </c>
      <c r="E46" s="88">
        <v>300000</v>
      </c>
      <c r="F46" s="84">
        <f t="shared" si="5"/>
        <v>21600000</v>
      </c>
      <c r="G46" s="96" t="s">
        <v>69</v>
      </c>
      <c r="H46" s="86">
        <v>4</v>
      </c>
      <c r="I46" s="88">
        <v>300000</v>
      </c>
      <c r="J46" s="84">
        <f t="shared" si="6"/>
        <v>1200000</v>
      </c>
      <c r="K46" s="76" t="s">
        <v>281</v>
      </c>
      <c r="L46" s="81"/>
    </row>
    <row r="47" spans="1:15" ht="30" x14ac:dyDescent="0.25">
      <c r="A47" s="361" t="s">
        <v>131</v>
      </c>
      <c r="B47" s="95" t="s">
        <v>225</v>
      </c>
      <c r="C47" s="96" t="s">
        <v>226</v>
      </c>
      <c r="D47" s="86">
        <v>17</v>
      </c>
      <c r="E47" s="88">
        <v>3000000</v>
      </c>
      <c r="F47" s="84">
        <f t="shared" si="5"/>
        <v>51000000</v>
      </c>
      <c r="G47" s="96" t="s">
        <v>38</v>
      </c>
      <c r="H47" s="86">
        <v>1</v>
      </c>
      <c r="I47" s="88">
        <v>2000000</v>
      </c>
      <c r="J47" s="84">
        <f t="shared" si="6"/>
        <v>2000000</v>
      </c>
      <c r="K47" s="76"/>
      <c r="L47" s="81"/>
    </row>
    <row r="48" spans="1:15" ht="30" x14ac:dyDescent="0.25">
      <c r="A48" s="82" t="s">
        <v>335</v>
      </c>
      <c r="B48" s="90" t="s">
        <v>686</v>
      </c>
      <c r="C48" s="91"/>
      <c r="D48" s="373"/>
      <c r="E48" s="374"/>
      <c r="F48" s="92">
        <f>SUM(F49:F59)</f>
        <v>33550000</v>
      </c>
      <c r="G48" s="91"/>
      <c r="H48" s="373"/>
      <c r="I48" s="374"/>
      <c r="J48" s="92">
        <f>SUM(J49:J59)</f>
        <v>13350000</v>
      </c>
      <c r="K48" s="76" t="s">
        <v>282</v>
      </c>
      <c r="L48" s="81"/>
    </row>
    <row r="49" spans="1:12" hidden="1" x14ac:dyDescent="0.25">
      <c r="A49" s="79" t="s">
        <v>131</v>
      </c>
      <c r="B49" s="76" t="s">
        <v>278</v>
      </c>
      <c r="C49" s="79" t="s">
        <v>170</v>
      </c>
      <c r="D49" s="86">
        <v>2</v>
      </c>
      <c r="E49" s="88">
        <v>1600000</v>
      </c>
      <c r="F49" s="84">
        <f>D49*E49</f>
        <v>3200000</v>
      </c>
      <c r="G49" s="79" t="s">
        <v>170</v>
      </c>
      <c r="H49" s="86">
        <v>2</v>
      </c>
      <c r="I49" s="88"/>
      <c r="J49" s="84">
        <f>H49*I49</f>
        <v>0</v>
      </c>
      <c r="K49" s="76"/>
      <c r="L49" s="81"/>
    </row>
    <row r="50" spans="1:12" hidden="1" x14ac:dyDescent="0.25">
      <c r="A50" s="79" t="s">
        <v>131</v>
      </c>
      <c r="B50" s="76" t="s">
        <v>279</v>
      </c>
      <c r="C50" s="79" t="s">
        <v>170</v>
      </c>
      <c r="D50" s="86">
        <v>2</v>
      </c>
      <c r="E50" s="88">
        <v>400000</v>
      </c>
      <c r="F50" s="84">
        <f t="shared" ref="F50:F59" si="7">D50*E50</f>
        <v>800000</v>
      </c>
      <c r="G50" s="79" t="s">
        <v>170</v>
      </c>
      <c r="H50" s="86">
        <v>2</v>
      </c>
      <c r="I50" s="88"/>
      <c r="J50" s="84">
        <f t="shared" ref="J50:J59" si="8">H50*I50</f>
        <v>0</v>
      </c>
      <c r="K50" s="76"/>
      <c r="L50" s="81"/>
    </row>
    <row r="51" spans="1:12" ht="30" x14ac:dyDescent="0.25">
      <c r="A51" s="79" t="s">
        <v>131</v>
      </c>
      <c r="B51" s="76" t="s">
        <v>280</v>
      </c>
      <c r="C51" s="79" t="s">
        <v>170</v>
      </c>
      <c r="D51" s="86">
        <v>1</v>
      </c>
      <c r="E51" s="88">
        <v>2400000</v>
      </c>
      <c r="F51" s="84">
        <f>D51*E51</f>
        <v>2400000</v>
      </c>
      <c r="G51" s="79" t="s">
        <v>46</v>
      </c>
      <c r="H51" s="86">
        <v>1</v>
      </c>
      <c r="I51" s="88">
        <v>2000000</v>
      </c>
      <c r="J51" s="84">
        <f>H51*I51</f>
        <v>2000000</v>
      </c>
      <c r="K51" s="76" t="s">
        <v>809</v>
      </c>
      <c r="L51" s="81"/>
    </row>
    <row r="52" spans="1:12" ht="30" hidden="1" x14ac:dyDescent="0.25">
      <c r="A52" s="79" t="s">
        <v>131</v>
      </c>
      <c r="B52" s="76" t="s">
        <v>275</v>
      </c>
      <c r="C52" s="79" t="s">
        <v>274</v>
      </c>
      <c r="D52" s="86">
        <v>2</v>
      </c>
      <c r="E52" s="88">
        <v>1200000</v>
      </c>
      <c r="F52" s="84">
        <f>D52*E52</f>
        <v>2400000</v>
      </c>
      <c r="G52" s="79" t="s">
        <v>274</v>
      </c>
      <c r="H52" s="86"/>
      <c r="I52" s="88"/>
      <c r="J52" s="84">
        <f>H52*I52</f>
        <v>0</v>
      </c>
      <c r="K52" s="76"/>
      <c r="L52" s="81"/>
    </row>
    <row r="53" spans="1:12" hidden="1" x14ac:dyDescent="0.25">
      <c r="A53" s="79" t="s">
        <v>131</v>
      </c>
      <c r="B53" s="76" t="s">
        <v>277</v>
      </c>
      <c r="C53" s="79" t="s">
        <v>46</v>
      </c>
      <c r="D53" s="86">
        <v>45</v>
      </c>
      <c r="E53" s="88">
        <v>240000</v>
      </c>
      <c r="F53" s="84">
        <f t="shared" si="7"/>
        <v>10800000</v>
      </c>
      <c r="G53" s="79" t="s">
        <v>46</v>
      </c>
      <c r="H53" s="86"/>
      <c r="I53" s="88"/>
      <c r="J53" s="84">
        <f t="shared" si="8"/>
        <v>0</v>
      </c>
      <c r="K53" s="76"/>
      <c r="L53" s="81"/>
    </row>
    <row r="54" spans="1:12" x14ac:dyDescent="0.25">
      <c r="A54" s="79" t="s">
        <v>131</v>
      </c>
      <c r="B54" s="76" t="s">
        <v>48</v>
      </c>
      <c r="C54" s="79" t="s">
        <v>49</v>
      </c>
      <c r="D54" s="86">
        <f>D53</f>
        <v>45</v>
      </c>
      <c r="E54" s="88">
        <v>50000</v>
      </c>
      <c r="F54" s="84">
        <f t="shared" si="7"/>
        <v>2250000</v>
      </c>
      <c r="G54" s="79" t="s">
        <v>49</v>
      </c>
      <c r="H54" s="86">
        <v>45</v>
      </c>
      <c r="I54" s="88">
        <v>50000</v>
      </c>
      <c r="J54" s="84">
        <f t="shared" si="8"/>
        <v>2250000</v>
      </c>
      <c r="K54" s="76"/>
      <c r="L54" s="81"/>
    </row>
    <row r="55" spans="1:12" x14ac:dyDescent="0.25">
      <c r="A55" s="79" t="s">
        <v>131</v>
      </c>
      <c r="B55" s="76" t="s">
        <v>50</v>
      </c>
      <c r="C55" s="79" t="s">
        <v>46</v>
      </c>
      <c r="D55" s="86">
        <f>D53</f>
        <v>45</v>
      </c>
      <c r="E55" s="88">
        <v>20000</v>
      </c>
      <c r="F55" s="84">
        <f t="shared" si="7"/>
        <v>900000</v>
      </c>
      <c r="G55" s="79" t="s">
        <v>46</v>
      </c>
      <c r="H55" s="86">
        <v>45</v>
      </c>
      <c r="I55" s="88">
        <v>20000</v>
      </c>
      <c r="J55" s="84">
        <f t="shared" si="8"/>
        <v>900000</v>
      </c>
      <c r="K55" s="76" t="s">
        <v>281</v>
      </c>
      <c r="L55" s="81"/>
    </row>
    <row r="56" spans="1:12" x14ac:dyDescent="0.25">
      <c r="A56" s="79" t="s">
        <v>131</v>
      </c>
      <c r="B56" s="95" t="s">
        <v>808</v>
      </c>
      <c r="C56" s="96" t="s">
        <v>283</v>
      </c>
      <c r="D56" s="86">
        <v>1</v>
      </c>
      <c r="E56" s="88">
        <v>5000000</v>
      </c>
      <c r="F56" s="84">
        <f t="shared" si="7"/>
        <v>5000000</v>
      </c>
      <c r="G56" s="96" t="s">
        <v>38</v>
      </c>
      <c r="H56" s="86">
        <v>2</v>
      </c>
      <c r="I56" s="88">
        <v>2000000</v>
      </c>
      <c r="J56" s="84">
        <f t="shared" si="8"/>
        <v>4000000</v>
      </c>
      <c r="K56" s="76"/>
      <c r="L56" s="81"/>
    </row>
    <row r="57" spans="1:12" x14ac:dyDescent="0.25">
      <c r="A57" s="79" t="s">
        <v>131</v>
      </c>
      <c r="B57" s="95" t="s">
        <v>677</v>
      </c>
      <c r="C57" s="96" t="s">
        <v>38</v>
      </c>
      <c r="D57" s="86">
        <f>4*2</f>
        <v>8</v>
      </c>
      <c r="E57" s="88">
        <v>200000</v>
      </c>
      <c r="F57" s="84">
        <f t="shared" si="7"/>
        <v>1600000</v>
      </c>
      <c r="G57" s="96" t="s">
        <v>38</v>
      </c>
      <c r="H57" s="86">
        <f>4*2</f>
        <v>8</v>
      </c>
      <c r="I57" s="88">
        <v>150000</v>
      </c>
      <c r="J57" s="84">
        <f t="shared" si="8"/>
        <v>1200000</v>
      </c>
      <c r="K57" s="76" t="s">
        <v>281</v>
      </c>
      <c r="L57" s="81"/>
    </row>
    <row r="58" spans="1:12" x14ac:dyDescent="0.25">
      <c r="A58" s="79" t="s">
        <v>131</v>
      </c>
      <c r="B58" s="95" t="s">
        <v>678</v>
      </c>
      <c r="C58" s="96" t="s">
        <v>69</v>
      </c>
      <c r="D58" s="86">
        <f>4*1</f>
        <v>4</v>
      </c>
      <c r="E58" s="88">
        <v>300000</v>
      </c>
      <c r="F58" s="84">
        <f t="shared" si="7"/>
        <v>1200000</v>
      </c>
      <c r="G58" s="96" t="s">
        <v>69</v>
      </c>
      <c r="H58" s="86">
        <f>4*1</f>
        <v>4</v>
      </c>
      <c r="I58" s="88">
        <v>250000</v>
      </c>
      <c r="J58" s="84">
        <f t="shared" si="8"/>
        <v>1000000</v>
      </c>
      <c r="K58" s="76" t="s">
        <v>281</v>
      </c>
      <c r="L58" s="81"/>
    </row>
    <row r="59" spans="1:12" ht="30" x14ac:dyDescent="0.25">
      <c r="A59" s="79" t="s">
        <v>131</v>
      </c>
      <c r="B59" s="95" t="s">
        <v>225</v>
      </c>
      <c r="C59" s="96" t="s">
        <v>226</v>
      </c>
      <c r="D59" s="86">
        <v>1</v>
      </c>
      <c r="E59" s="88">
        <v>3000000</v>
      </c>
      <c r="F59" s="84">
        <f t="shared" si="7"/>
        <v>3000000</v>
      </c>
      <c r="G59" s="96" t="s">
        <v>38</v>
      </c>
      <c r="H59" s="86">
        <v>1</v>
      </c>
      <c r="I59" s="88">
        <v>2000000</v>
      </c>
      <c r="J59" s="84">
        <f t="shared" si="8"/>
        <v>2000000</v>
      </c>
      <c r="K59" s="76"/>
      <c r="L59" s="81"/>
    </row>
    <row r="60" spans="1:12" s="94" customFormat="1" x14ac:dyDescent="0.25">
      <c r="A60" s="82" t="s">
        <v>553</v>
      </c>
      <c r="B60" s="90" t="s">
        <v>687</v>
      </c>
      <c r="C60" s="91"/>
      <c r="D60" s="373"/>
      <c r="E60" s="374"/>
      <c r="F60" s="92">
        <f>SUM(F61:F71)</f>
        <v>68100000</v>
      </c>
      <c r="G60" s="91"/>
      <c r="H60" s="373"/>
      <c r="I60" s="374"/>
      <c r="J60" s="92">
        <f>SUM(J61:J71)</f>
        <v>38600000</v>
      </c>
      <c r="K60" s="375"/>
      <c r="L60" s="93"/>
    </row>
    <row r="61" spans="1:12" hidden="1" x14ac:dyDescent="0.25">
      <c r="A61" s="79" t="s">
        <v>131</v>
      </c>
      <c r="B61" s="76" t="s">
        <v>276</v>
      </c>
      <c r="C61" s="79" t="s">
        <v>170</v>
      </c>
      <c r="D61" s="86">
        <v>2</v>
      </c>
      <c r="E61" s="88">
        <v>1600000</v>
      </c>
      <c r="F61" s="84">
        <f>D61*E61</f>
        <v>3200000</v>
      </c>
      <c r="G61" s="79" t="s">
        <v>170</v>
      </c>
      <c r="H61" s="86"/>
      <c r="I61" s="88"/>
      <c r="J61" s="84">
        <f>H61*I61</f>
        <v>0</v>
      </c>
      <c r="K61" s="76"/>
      <c r="L61" s="81"/>
    </row>
    <row r="62" spans="1:12" hidden="1" x14ac:dyDescent="0.25">
      <c r="A62" s="79" t="s">
        <v>131</v>
      </c>
      <c r="B62" s="76" t="s">
        <v>47</v>
      </c>
      <c r="C62" s="79" t="s">
        <v>170</v>
      </c>
      <c r="D62" s="86">
        <v>2</v>
      </c>
      <c r="E62" s="88">
        <v>400000</v>
      </c>
      <c r="F62" s="84">
        <f t="shared" ref="F62:F71" si="9">D62*E62</f>
        <v>800000</v>
      </c>
      <c r="G62" s="79" t="s">
        <v>170</v>
      </c>
      <c r="H62" s="86"/>
      <c r="I62" s="88"/>
      <c r="J62" s="84">
        <f t="shared" ref="J62:J71" si="10">H62*I62</f>
        <v>0</v>
      </c>
      <c r="K62" s="76"/>
      <c r="L62" s="81"/>
    </row>
    <row r="63" spans="1:12" ht="30" x14ac:dyDescent="0.25">
      <c r="A63" s="362" t="s">
        <v>131</v>
      </c>
      <c r="B63" s="76" t="s">
        <v>273</v>
      </c>
      <c r="C63" s="79" t="s">
        <v>170</v>
      </c>
      <c r="D63" s="86">
        <v>1</v>
      </c>
      <c r="E63" s="88">
        <v>2400000</v>
      </c>
      <c r="F63" s="84">
        <f t="shared" si="9"/>
        <v>2400000</v>
      </c>
      <c r="G63" s="79" t="s">
        <v>46</v>
      </c>
      <c r="H63" s="86">
        <v>1</v>
      </c>
      <c r="I63" s="88">
        <v>2000000</v>
      </c>
      <c r="J63" s="84">
        <f t="shared" si="10"/>
        <v>2000000</v>
      </c>
      <c r="K63" s="76" t="s">
        <v>813</v>
      </c>
      <c r="L63" s="81"/>
    </row>
    <row r="64" spans="1:12" ht="30" hidden="1" x14ac:dyDescent="0.25">
      <c r="A64" s="79"/>
      <c r="B64" s="76" t="s">
        <v>275</v>
      </c>
      <c r="C64" s="79" t="s">
        <v>274</v>
      </c>
      <c r="D64" s="86">
        <v>5</v>
      </c>
      <c r="E64" s="88">
        <v>1200000</v>
      </c>
      <c r="F64" s="84">
        <f t="shared" si="9"/>
        <v>6000000</v>
      </c>
      <c r="G64" s="79" t="s">
        <v>274</v>
      </c>
      <c r="H64" s="86"/>
      <c r="I64" s="88"/>
      <c r="J64" s="84">
        <f t="shared" si="10"/>
        <v>0</v>
      </c>
      <c r="K64" s="76"/>
      <c r="L64" s="81"/>
    </row>
    <row r="65" spans="1:12" hidden="1" x14ac:dyDescent="0.25">
      <c r="A65" s="79" t="s">
        <v>131</v>
      </c>
      <c r="B65" s="76" t="s">
        <v>277</v>
      </c>
      <c r="C65" s="79" t="s">
        <v>46</v>
      </c>
      <c r="D65" s="86">
        <v>120</v>
      </c>
      <c r="E65" s="88">
        <v>240000</v>
      </c>
      <c r="F65" s="84">
        <f t="shared" si="9"/>
        <v>28800000</v>
      </c>
      <c r="G65" s="79" t="s">
        <v>46</v>
      </c>
      <c r="H65" s="86"/>
      <c r="I65" s="88"/>
      <c r="J65" s="84">
        <f t="shared" si="10"/>
        <v>0</v>
      </c>
      <c r="K65" s="76"/>
      <c r="L65" s="81"/>
    </row>
    <row r="66" spans="1:12" x14ac:dyDescent="0.25">
      <c r="A66" s="79" t="s">
        <v>131</v>
      </c>
      <c r="B66" s="76" t="s">
        <v>48</v>
      </c>
      <c r="C66" s="79" t="s">
        <v>49</v>
      </c>
      <c r="D66" s="86">
        <f>D65</f>
        <v>120</v>
      </c>
      <c r="E66" s="88">
        <v>50000</v>
      </c>
      <c r="F66" s="84">
        <f t="shared" si="9"/>
        <v>6000000</v>
      </c>
      <c r="G66" s="79" t="s">
        <v>49</v>
      </c>
      <c r="H66" s="86">
        <v>120</v>
      </c>
      <c r="I66" s="88">
        <v>50000</v>
      </c>
      <c r="J66" s="84">
        <f t="shared" si="10"/>
        <v>6000000</v>
      </c>
      <c r="K66" s="76"/>
      <c r="L66" s="81"/>
    </row>
    <row r="67" spans="1:12" x14ac:dyDescent="0.25">
      <c r="A67" s="79" t="s">
        <v>131</v>
      </c>
      <c r="B67" s="76" t="s">
        <v>50</v>
      </c>
      <c r="C67" s="79" t="s">
        <v>46</v>
      </c>
      <c r="D67" s="86">
        <f>D65</f>
        <v>120</v>
      </c>
      <c r="E67" s="88">
        <v>20000</v>
      </c>
      <c r="F67" s="84">
        <f t="shared" si="9"/>
        <v>2400000</v>
      </c>
      <c r="G67" s="79" t="s">
        <v>46</v>
      </c>
      <c r="H67" s="86">
        <v>120</v>
      </c>
      <c r="I67" s="88">
        <v>20000</v>
      </c>
      <c r="J67" s="84">
        <f t="shared" si="10"/>
        <v>2400000</v>
      </c>
      <c r="K67" s="76" t="s">
        <v>281</v>
      </c>
      <c r="L67" s="81"/>
    </row>
    <row r="68" spans="1:12" x14ac:dyDescent="0.25">
      <c r="A68" s="79" t="s">
        <v>131</v>
      </c>
      <c r="B68" s="95" t="s">
        <v>808</v>
      </c>
      <c r="C68" s="96" t="s">
        <v>283</v>
      </c>
      <c r="D68" s="86">
        <v>1</v>
      </c>
      <c r="E68" s="88">
        <v>5000000</v>
      </c>
      <c r="F68" s="84">
        <f t="shared" si="9"/>
        <v>5000000</v>
      </c>
      <c r="G68" s="96" t="s">
        <v>38</v>
      </c>
      <c r="H68" s="86">
        <v>2</v>
      </c>
      <c r="I68" s="88">
        <v>2000000</v>
      </c>
      <c r="J68" s="84">
        <f t="shared" si="10"/>
        <v>4000000</v>
      </c>
      <c r="K68" s="76"/>
      <c r="L68" s="81"/>
    </row>
    <row r="69" spans="1:12" x14ac:dyDescent="0.25">
      <c r="A69" s="79" t="s">
        <v>131</v>
      </c>
      <c r="B69" s="95" t="s">
        <v>677</v>
      </c>
      <c r="C69" s="96" t="s">
        <v>38</v>
      </c>
      <c r="D69" s="86">
        <f>5*2</f>
        <v>10</v>
      </c>
      <c r="E69" s="88">
        <v>200000</v>
      </c>
      <c r="F69" s="84">
        <f t="shared" si="9"/>
        <v>2000000</v>
      </c>
      <c r="G69" s="96" t="s">
        <v>38</v>
      </c>
      <c r="H69" s="86">
        <v>8</v>
      </c>
      <c r="I69" s="88">
        <v>150000</v>
      </c>
      <c r="J69" s="84">
        <f t="shared" si="10"/>
        <v>1200000</v>
      </c>
      <c r="K69" s="76" t="s">
        <v>281</v>
      </c>
      <c r="L69" s="81"/>
    </row>
    <row r="70" spans="1:12" x14ac:dyDescent="0.25">
      <c r="A70" s="79" t="s">
        <v>131</v>
      </c>
      <c r="B70" s="95" t="s">
        <v>678</v>
      </c>
      <c r="C70" s="96" t="s">
        <v>69</v>
      </c>
      <c r="D70" s="86">
        <f>5*1</f>
        <v>5</v>
      </c>
      <c r="E70" s="88">
        <v>300000</v>
      </c>
      <c r="F70" s="84">
        <f t="shared" si="9"/>
        <v>1500000</v>
      </c>
      <c r="G70" s="96" t="s">
        <v>69</v>
      </c>
      <c r="H70" s="86">
        <v>4</v>
      </c>
      <c r="I70" s="88">
        <v>250000</v>
      </c>
      <c r="J70" s="84">
        <f t="shared" si="10"/>
        <v>1000000</v>
      </c>
      <c r="K70" s="76" t="s">
        <v>281</v>
      </c>
      <c r="L70" s="81"/>
    </row>
    <row r="71" spans="1:12" ht="30" x14ac:dyDescent="0.25">
      <c r="A71" s="79" t="s">
        <v>131</v>
      </c>
      <c r="B71" s="95" t="s">
        <v>826</v>
      </c>
      <c r="C71" s="96" t="s">
        <v>226</v>
      </c>
      <c r="D71" s="86">
        <v>1</v>
      </c>
      <c r="E71" s="88">
        <v>10000000</v>
      </c>
      <c r="F71" s="84">
        <f t="shared" si="9"/>
        <v>10000000</v>
      </c>
      <c r="G71" s="96" t="s">
        <v>38</v>
      </c>
      <c r="H71" s="86">
        <v>1</v>
      </c>
      <c r="I71" s="88">
        <v>22000000</v>
      </c>
      <c r="J71" s="84">
        <f t="shared" si="10"/>
        <v>22000000</v>
      </c>
      <c r="K71" s="76"/>
      <c r="L71" s="81"/>
    </row>
    <row r="72" spans="1:12" ht="60" x14ac:dyDescent="0.25">
      <c r="A72" s="82" t="s">
        <v>554</v>
      </c>
      <c r="B72" s="443" t="s">
        <v>854</v>
      </c>
      <c r="C72" s="91"/>
      <c r="D72" s="373"/>
      <c r="E72" s="374"/>
      <c r="F72" s="92">
        <f>F73+F79+F84</f>
        <v>251400000</v>
      </c>
      <c r="G72" s="91"/>
      <c r="H72" s="373"/>
      <c r="I72" s="374"/>
      <c r="J72" s="92">
        <f>J73+J79+J84</f>
        <v>119850000</v>
      </c>
      <c r="K72" s="76"/>
      <c r="L72" s="81"/>
    </row>
    <row r="73" spans="1:12" x14ac:dyDescent="0.25">
      <c r="A73" s="82" t="s">
        <v>145</v>
      </c>
      <c r="B73" s="97" t="s">
        <v>51</v>
      </c>
      <c r="C73" s="82"/>
      <c r="D73" s="98"/>
      <c r="E73" s="99"/>
      <c r="F73" s="100">
        <f>SUM(F75:F78)</f>
        <v>95400000</v>
      </c>
      <c r="G73" s="82"/>
      <c r="H73" s="98"/>
      <c r="I73" s="99"/>
      <c r="J73" s="100">
        <f>SUM(J75:J78)</f>
        <v>60350000</v>
      </c>
      <c r="K73" s="76"/>
      <c r="L73" s="81"/>
    </row>
    <row r="74" spans="1:12" ht="52.5" customHeight="1" x14ac:dyDescent="0.25">
      <c r="A74" s="78" t="s">
        <v>131</v>
      </c>
      <c r="B74" s="101" t="s">
        <v>52</v>
      </c>
      <c r="C74" s="96" t="s">
        <v>53</v>
      </c>
      <c r="D74" s="86">
        <v>2</v>
      </c>
      <c r="E74" s="88">
        <v>1000000</v>
      </c>
      <c r="F74" s="84">
        <f>D74*E74</f>
        <v>2000000</v>
      </c>
      <c r="G74" s="96" t="s">
        <v>53</v>
      </c>
      <c r="H74" s="86">
        <v>2</v>
      </c>
      <c r="I74" s="88">
        <v>1000000</v>
      </c>
      <c r="J74" s="84">
        <f>H74*I74</f>
        <v>2000000</v>
      </c>
      <c r="K74" s="491" t="s">
        <v>809</v>
      </c>
      <c r="L74" s="81"/>
    </row>
    <row r="75" spans="1:12" ht="52.5" customHeight="1" x14ac:dyDescent="0.25">
      <c r="A75" s="78" t="s">
        <v>131</v>
      </c>
      <c r="B75" s="95" t="s">
        <v>855</v>
      </c>
      <c r="C75" s="104" t="s">
        <v>170</v>
      </c>
      <c r="D75" s="86">
        <f>2*2*18</f>
        <v>72</v>
      </c>
      <c r="E75" s="88">
        <v>500000</v>
      </c>
      <c r="F75" s="84">
        <f t="shared" ref="F75:F85" si="11">D75*E75</f>
        <v>36000000</v>
      </c>
      <c r="G75" s="104" t="s">
        <v>170</v>
      </c>
      <c r="H75" s="448">
        <f>17*4</f>
        <v>68</v>
      </c>
      <c r="I75" s="88">
        <v>500000</v>
      </c>
      <c r="J75" s="84">
        <f t="shared" ref="J75:J85" si="12">H75*I75</f>
        <v>34000000</v>
      </c>
      <c r="K75" s="492"/>
      <c r="L75" s="81"/>
    </row>
    <row r="76" spans="1:12" x14ac:dyDescent="0.25">
      <c r="A76" s="78" t="s">
        <v>131</v>
      </c>
      <c r="B76" s="95" t="s">
        <v>166</v>
      </c>
      <c r="C76" s="96" t="s">
        <v>38</v>
      </c>
      <c r="D76" s="86">
        <v>20</v>
      </c>
      <c r="E76" s="88">
        <v>2000000</v>
      </c>
      <c r="F76" s="84">
        <f t="shared" si="11"/>
        <v>40000000</v>
      </c>
      <c r="G76" s="96" t="s">
        <v>815</v>
      </c>
      <c r="H76" s="448">
        <v>17</v>
      </c>
      <c r="I76" s="88">
        <v>1000000</v>
      </c>
      <c r="J76" s="84">
        <f t="shared" si="12"/>
        <v>17000000</v>
      </c>
      <c r="K76" s="83"/>
      <c r="L76" s="81"/>
    </row>
    <row r="77" spans="1:12" x14ac:dyDescent="0.25">
      <c r="A77" s="78" t="s">
        <v>131</v>
      </c>
      <c r="B77" s="95" t="s">
        <v>171</v>
      </c>
      <c r="C77" s="96" t="s">
        <v>38</v>
      </c>
      <c r="D77" s="86">
        <f>2*20</f>
        <v>40</v>
      </c>
      <c r="E77" s="88">
        <v>200000</v>
      </c>
      <c r="F77" s="84">
        <f t="shared" si="11"/>
        <v>8000000</v>
      </c>
      <c r="G77" s="96" t="s">
        <v>38</v>
      </c>
      <c r="H77" s="448">
        <v>34</v>
      </c>
      <c r="I77" s="88">
        <v>150000</v>
      </c>
      <c r="J77" s="84">
        <f t="shared" si="12"/>
        <v>5100000</v>
      </c>
      <c r="K77" s="76" t="s">
        <v>281</v>
      </c>
      <c r="L77" s="81"/>
    </row>
    <row r="78" spans="1:12" x14ac:dyDescent="0.25">
      <c r="A78" s="78" t="s">
        <v>131</v>
      </c>
      <c r="B78" s="95" t="s">
        <v>167</v>
      </c>
      <c r="C78" s="96" t="s">
        <v>69</v>
      </c>
      <c r="D78" s="86">
        <f>2*19</f>
        <v>38</v>
      </c>
      <c r="E78" s="88">
        <v>300000</v>
      </c>
      <c r="F78" s="84">
        <f t="shared" si="11"/>
        <v>11400000</v>
      </c>
      <c r="G78" s="96" t="s">
        <v>69</v>
      </c>
      <c r="H78" s="448">
        <v>17</v>
      </c>
      <c r="I78" s="88">
        <v>250000</v>
      </c>
      <c r="J78" s="84">
        <f t="shared" si="12"/>
        <v>4250000</v>
      </c>
      <c r="K78" s="76" t="s">
        <v>281</v>
      </c>
      <c r="L78" s="81"/>
    </row>
    <row r="79" spans="1:12" x14ac:dyDescent="0.25">
      <c r="A79" s="82" t="s">
        <v>146</v>
      </c>
      <c r="B79" s="102" t="s">
        <v>54</v>
      </c>
      <c r="C79" s="103"/>
      <c r="D79" s="98"/>
      <c r="E79" s="99"/>
      <c r="F79" s="100">
        <f>SUM(F80:F83)</f>
        <v>102000000</v>
      </c>
      <c r="G79" s="103"/>
      <c r="H79" s="98"/>
      <c r="I79" s="99"/>
      <c r="J79" s="100">
        <f>SUM(J80:J83)</f>
        <v>25500000</v>
      </c>
      <c r="K79" s="76"/>
      <c r="L79" s="81"/>
    </row>
    <row r="80" spans="1:12" hidden="1" x14ac:dyDescent="0.25">
      <c r="A80" s="78" t="s">
        <v>131</v>
      </c>
      <c r="B80" s="95" t="s">
        <v>172</v>
      </c>
      <c r="C80" s="96" t="s">
        <v>46</v>
      </c>
      <c r="D80" s="86">
        <f>D39</f>
        <v>510</v>
      </c>
      <c r="E80" s="88">
        <v>50000</v>
      </c>
      <c r="F80" s="84">
        <f t="shared" si="11"/>
        <v>25500000</v>
      </c>
      <c r="G80" s="96" t="s">
        <v>46</v>
      </c>
      <c r="H80" s="86"/>
      <c r="I80" s="88"/>
      <c r="J80" s="84"/>
      <c r="K80" s="76"/>
      <c r="L80" s="81"/>
    </row>
    <row r="81" spans="1:16" hidden="1" x14ac:dyDescent="0.25">
      <c r="A81" s="78" t="s">
        <v>131</v>
      </c>
      <c r="B81" s="95" t="s">
        <v>173</v>
      </c>
      <c r="C81" s="96" t="s">
        <v>46</v>
      </c>
      <c r="D81" s="86">
        <f>$D$80</f>
        <v>510</v>
      </c>
      <c r="E81" s="88">
        <v>100000</v>
      </c>
      <c r="F81" s="84">
        <f t="shared" si="11"/>
        <v>51000000</v>
      </c>
      <c r="G81" s="96" t="s">
        <v>46</v>
      </c>
      <c r="H81" s="86"/>
      <c r="I81" s="88"/>
      <c r="J81" s="84"/>
      <c r="K81" s="76"/>
      <c r="L81" s="81"/>
    </row>
    <row r="82" spans="1:16" x14ac:dyDescent="0.25">
      <c r="A82" s="78" t="s">
        <v>131</v>
      </c>
      <c r="B82" s="95" t="s">
        <v>174</v>
      </c>
      <c r="C82" s="96" t="s">
        <v>46</v>
      </c>
      <c r="D82" s="86">
        <f>$D$80</f>
        <v>510</v>
      </c>
      <c r="E82" s="88">
        <v>20000</v>
      </c>
      <c r="F82" s="84">
        <f t="shared" si="11"/>
        <v>10200000</v>
      </c>
      <c r="G82" s="96" t="s">
        <v>46</v>
      </c>
      <c r="H82" s="448">
        <f>17*30</f>
        <v>510</v>
      </c>
      <c r="I82" s="88">
        <v>20000</v>
      </c>
      <c r="J82" s="84">
        <f>H82*I82</f>
        <v>10200000</v>
      </c>
      <c r="K82" s="76" t="s">
        <v>281</v>
      </c>
      <c r="L82" s="81"/>
    </row>
    <row r="83" spans="1:16" x14ac:dyDescent="0.25">
      <c r="A83" s="78" t="s">
        <v>131</v>
      </c>
      <c r="B83" s="95" t="s">
        <v>175</v>
      </c>
      <c r="C83" s="96" t="s">
        <v>49</v>
      </c>
      <c r="D83" s="86">
        <f>$D$80</f>
        <v>510</v>
      </c>
      <c r="E83" s="88">
        <v>30000</v>
      </c>
      <c r="F83" s="84">
        <f t="shared" si="11"/>
        <v>15300000</v>
      </c>
      <c r="G83" s="96" t="s">
        <v>49</v>
      </c>
      <c r="H83" s="448">
        <f>H82</f>
        <v>510</v>
      </c>
      <c r="I83" s="88">
        <v>30000</v>
      </c>
      <c r="J83" s="84">
        <f>H83*I83</f>
        <v>15300000</v>
      </c>
      <c r="K83" s="76"/>
      <c r="L83" s="81"/>
    </row>
    <row r="84" spans="1:16" x14ac:dyDescent="0.25">
      <c r="A84" s="82" t="s">
        <v>147</v>
      </c>
      <c r="B84" s="102" t="s">
        <v>55</v>
      </c>
      <c r="C84" s="103"/>
      <c r="D84" s="98"/>
      <c r="E84" s="99"/>
      <c r="F84" s="100">
        <f>F85</f>
        <v>54000000</v>
      </c>
      <c r="G84" s="103"/>
      <c r="H84" s="98"/>
      <c r="I84" s="99"/>
      <c r="J84" s="100">
        <f>J85</f>
        <v>34000000</v>
      </c>
      <c r="K84" s="76"/>
      <c r="L84" s="81"/>
    </row>
    <row r="85" spans="1:16" ht="30" x14ac:dyDescent="0.25">
      <c r="A85" s="78" t="s">
        <v>131</v>
      </c>
      <c r="B85" s="95" t="s">
        <v>56</v>
      </c>
      <c r="C85" s="96" t="s">
        <v>38</v>
      </c>
      <c r="D85" s="86">
        <v>18</v>
      </c>
      <c r="E85" s="88">
        <v>3000000</v>
      </c>
      <c r="F85" s="84">
        <f t="shared" si="11"/>
        <v>54000000</v>
      </c>
      <c r="G85" s="96" t="s">
        <v>38</v>
      </c>
      <c r="H85" s="448">
        <v>17</v>
      </c>
      <c r="I85" s="88">
        <v>2000000</v>
      </c>
      <c r="J85" s="84">
        <f t="shared" si="12"/>
        <v>34000000</v>
      </c>
      <c r="K85" s="76"/>
      <c r="L85" s="81"/>
    </row>
    <row r="86" spans="1:16" ht="30.75" customHeight="1" x14ac:dyDescent="0.25">
      <c r="A86" s="136">
        <v>4</v>
      </c>
      <c r="B86" s="111" t="s">
        <v>181</v>
      </c>
      <c r="C86" s="79"/>
      <c r="D86" s="86"/>
      <c r="E86" s="86"/>
      <c r="F86" s="376">
        <f>SUM(F87:F101)</f>
        <v>85000000</v>
      </c>
      <c r="G86" s="79"/>
      <c r="H86" s="86"/>
      <c r="I86" s="86"/>
      <c r="J86" s="376">
        <f>SUM(J87:J101)</f>
        <v>47900000</v>
      </c>
      <c r="K86" s="76"/>
    </row>
    <row r="87" spans="1:16" ht="15.75" x14ac:dyDescent="0.25">
      <c r="A87" s="377" t="s">
        <v>131</v>
      </c>
      <c r="B87" s="378" t="s">
        <v>794</v>
      </c>
      <c r="C87" s="379" t="s">
        <v>620</v>
      </c>
      <c r="D87" s="380">
        <v>2550</v>
      </c>
      <c r="E87" s="86">
        <v>4000</v>
      </c>
      <c r="F87" s="84">
        <f t="shared" ref="F87:F101" si="13">D87*E87</f>
        <v>10200000</v>
      </c>
      <c r="G87" s="379" t="s">
        <v>620</v>
      </c>
      <c r="H87" s="449">
        <f>16*30*5</f>
        <v>2400</v>
      </c>
      <c r="I87" s="86">
        <v>4000</v>
      </c>
      <c r="J87" s="84">
        <f t="shared" ref="J87:J101" si="14">H87*I87</f>
        <v>9600000</v>
      </c>
      <c r="K87" s="76"/>
    </row>
    <row r="88" spans="1:16" s="432" customFormat="1" ht="31.5" x14ac:dyDescent="0.25">
      <c r="A88" s="429" t="s">
        <v>131</v>
      </c>
      <c r="B88" s="423" t="s">
        <v>793</v>
      </c>
      <c r="C88" s="425" t="s">
        <v>621</v>
      </c>
      <c r="D88" s="430">
        <v>760</v>
      </c>
      <c r="E88" s="427">
        <v>35000</v>
      </c>
      <c r="F88" s="428">
        <f t="shared" si="13"/>
        <v>26600000</v>
      </c>
      <c r="G88" s="425" t="s">
        <v>621</v>
      </c>
      <c r="H88" s="449">
        <f>370*2</f>
        <v>740</v>
      </c>
      <c r="I88" s="427">
        <v>35000</v>
      </c>
      <c r="J88" s="428">
        <f t="shared" si="14"/>
        <v>25900000</v>
      </c>
      <c r="K88" s="431"/>
      <c r="P88" s="433"/>
    </row>
    <row r="89" spans="1:16" ht="15.75" hidden="1" x14ac:dyDescent="0.25">
      <c r="A89" s="377" t="s">
        <v>131</v>
      </c>
      <c r="B89" s="378" t="s">
        <v>622</v>
      </c>
      <c r="C89" s="379" t="s">
        <v>623</v>
      </c>
      <c r="D89" s="380">
        <v>34</v>
      </c>
      <c r="E89" s="86">
        <v>200000</v>
      </c>
      <c r="F89" s="84">
        <f t="shared" si="13"/>
        <v>6800000</v>
      </c>
      <c r="G89" s="379" t="s">
        <v>623</v>
      </c>
      <c r="H89" s="382"/>
      <c r="I89" s="86">
        <v>200000</v>
      </c>
      <c r="J89" s="84">
        <f t="shared" si="14"/>
        <v>0</v>
      </c>
      <c r="K89" s="76"/>
    </row>
    <row r="90" spans="1:16" ht="15.75" hidden="1" x14ac:dyDescent="0.25">
      <c r="A90" s="377" t="s">
        <v>131</v>
      </c>
      <c r="B90" s="378" t="s">
        <v>624</v>
      </c>
      <c r="C90" s="379" t="s">
        <v>623</v>
      </c>
      <c r="D90" s="380">
        <v>17</v>
      </c>
      <c r="E90" s="86">
        <v>150000</v>
      </c>
      <c r="F90" s="84">
        <f t="shared" si="13"/>
        <v>2550000</v>
      </c>
      <c r="G90" s="379" t="s">
        <v>623</v>
      </c>
      <c r="H90" s="382"/>
      <c r="I90" s="86">
        <v>150000</v>
      </c>
      <c r="J90" s="84">
        <f t="shared" si="14"/>
        <v>0</v>
      </c>
      <c r="K90" s="76"/>
    </row>
    <row r="91" spans="1:16" ht="15.75" hidden="1" x14ac:dyDescent="0.25">
      <c r="A91" s="377" t="s">
        <v>131</v>
      </c>
      <c r="B91" s="378" t="s">
        <v>625</v>
      </c>
      <c r="C91" s="379" t="s">
        <v>626</v>
      </c>
      <c r="D91" s="380">
        <v>17</v>
      </c>
      <c r="E91" s="86">
        <v>100000</v>
      </c>
      <c r="F91" s="84">
        <f t="shared" si="13"/>
        <v>1700000</v>
      </c>
      <c r="G91" s="379" t="s">
        <v>626</v>
      </c>
      <c r="H91" s="382"/>
      <c r="I91" s="86">
        <v>100000</v>
      </c>
      <c r="J91" s="84">
        <f t="shared" si="14"/>
        <v>0</v>
      </c>
      <c r="K91" s="76"/>
    </row>
    <row r="92" spans="1:16" ht="15.75" hidden="1" x14ac:dyDescent="0.25">
      <c r="A92" s="377" t="s">
        <v>131</v>
      </c>
      <c r="B92" s="378" t="s">
        <v>627</v>
      </c>
      <c r="C92" s="379" t="s">
        <v>628</v>
      </c>
      <c r="D92" s="380">
        <v>170</v>
      </c>
      <c r="E92" s="86">
        <v>5000</v>
      </c>
      <c r="F92" s="84">
        <f t="shared" si="13"/>
        <v>850000</v>
      </c>
      <c r="G92" s="379" t="s">
        <v>628</v>
      </c>
      <c r="H92" s="382"/>
      <c r="I92" s="86">
        <v>5000</v>
      </c>
      <c r="J92" s="84">
        <f t="shared" si="14"/>
        <v>0</v>
      </c>
      <c r="K92" s="76"/>
    </row>
    <row r="93" spans="1:16" ht="15.75" x14ac:dyDescent="0.25">
      <c r="A93" s="377" t="s">
        <v>131</v>
      </c>
      <c r="B93" s="378" t="s">
        <v>792</v>
      </c>
      <c r="C93" s="379" t="s">
        <v>628</v>
      </c>
      <c r="D93" s="380">
        <v>171</v>
      </c>
      <c r="E93" s="86">
        <v>5000</v>
      </c>
      <c r="F93" s="84">
        <f t="shared" si="13"/>
        <v>855000</v>
      </c>
      <c r="G93" s="379" t="s">
        <v>628</v>
      </c>
      <c r="H93" s="449">
        <f>16*10</f>
        <v>160</v>
      </c>
      <c r="I93" s="86">
        <v>5000</v>
      </c>
      <c r="J93" s="84">
        <f t="shared" si="14"/>
        <v>800000</v>
      </c>
      <c r="K93" s="76"/>
      <c r="M93" s="71">
        <f>171/17</f>
        <v>10.058823529411764</v>
      </c>
    </row>
    <row r="94" spans="1:16" ht="15.75" x14ac:dyDescent="0.25">
      <c r="A94" s="377" t="s">
        <v>131</v>
      </c>
      <c r="B94" s="378" t="s">
        <v>791</v>
      </c>
      <c r="C94" s="379" t="s">
        <v>628</v>
      </c>
      <c r="D94" s="380">
        <v>51</v>
      </c>
      <c r="E94" s="86">
        <v>45000</v>
      </c>
      <c r="F94" s="84">
        <f t="shared" si="13"/>
        <v>2295000</v>
      </c>
      <c r="G94" s="379" t="s">
        <v>628</v>
      </c>
      <c r="H94" s="449">
        <f>16*3</f>
        <v>48</v>
      </c>
      <c r="I94" s="86">
        <v>45000</v>
      </c>
      <c r="J94" s="84">
        <f t="shared" si="14"/>
        <v>2160000</v>
      </c>
      <c r="K94" s="76"/>
    </row>
    <row r="95" spans="1:16" ht="15.75" x14ac:dyDescent="0.25">
      <c r="A95" s="377" t="s">
        <v>131</v>
      </c>
      <c r="B95" s="378" t="s">
        <v>790</v>
      </c>
      <c r="C95" s="379" t="s">
        <v>628</v>
      </c>
      <c r="D95" s="380">
        <v>51</v>
      </c>
      <c r="E95" s="86">
        <v>30000</v>
      </c>
      <c r="F95" s="84">
        <f t="shared" si="13"/>
        <v>1530000</v>
      </c>
      <c r="G95" s="379" t="s">
        <v>628</v>
      </c>
      <c r="H95" s="449">
        <f>16*3</f>
        <v>48</v>
      </c>
      <c r="I95" s="86">
        <v>30000</v>
      </c>
      <c r="J95" s="84">
        <f t="shared" si="14"/>
        <v>1440000</v>
      </c>
      <c r="K95" s="76"/>
    </row>
    <row r="96" spans="1:16" ht="15.75" x14ac:dyDescent="0.25">
      <c r="A96" s="377" t="s">
        <v>131</v>
      </c>
      <c r="B96" s="378" t="s">
        <v>789</v>
      </c>
      <c r="C96" s="379" t="s">
        <v>629</v>
      </c>
      <c r="D96" s="380">
        <v>17</v>
      </c>
      <c r="E96" s="86">
        <v>200000</v>
      </c>
      <c r="F96" s="84">
        <f t="shared" si="13"/>
        <v>3400000</v>
      </c>
      <c r="G96" s="379" t="s">
        <v>629</v>
      </c>
      <c r="H96" s="449">
        <v>16</v>
      </c>
      <c r="I96" s="86">
        <v>200000</v>
      </c>
      <c r="J96" s="84">
        <f t="shared" si="14"/>
        <v>3200000</v>
      </c>
      <c r="K96" s="76"/>
    </row>
    <row r="97" spans="1:13" ht="15.75" hidden="1" x14ac:dyDescent="0.25">
      <c r="A97" s="377" t="s">
        <v>131</v>
      </c>
      <c r="B97" s="378" t="s">
        <v>630</v>
      </c>
      <c r="C97" s="379" t="s">
        <v>629</v>
      </c>
      <c r="D97" s="380">
        <v>17</v>
      </c>
      <c r="E97" s="86">
        <v>120000</v>
      </c>
      <c r="F97" s="84">
        <f t="shared" si="13"/>
        <v>2040000</v>
      </c>
      <c r="G97" s="379" t="s">
        <v>629</v>
      </c>
      <c r="H97" s="449"/>
      <c r="I97" s="86">
        <v>120000</v>
      </c>
      <c r="J97" s="84">
        <f t="shared" si="14"/>
        <v>0</v>
      </c>
      <c r="K97" s="76"/>
    </row>
    <row r="98" spans="1:13" ht="15.75" hidden="1" x14ac:dyDescent="0.25">
      <c r="A98" s="377" t="s">
        <v>131</v>
      </c>
      <c r="B98" s="378" t="s">
        <v>631</v>
      </c>
      <c r="C98" s="379" t="s">
        <v>629</v>
      </c>
      <c r="D98" s="380">
        <v>17</v>
      </c>
      <c r="E98" s="86">
        <v>140000</v>
      </c>
      <c r="F98" s="84">
        <f t="shared" si="13"/>
        <v>2380000</v>
      </c>
      <c r="G98" s="379" t="s">
        <v>629</v>
      </c>
      <c r="H98" s="449"/>
      <c r="I98" s="86">
        <v>140000</v>
      </c>
      <c r="J98" s="84">
        <f t="shared" si="14"/>
        <v>0</v>
      </c>
      <c r="K98" s="76"/>
    </row>
    <row r="99" spans="1:13" ht="15.75" hidden="1" x14ac:dyDescent="0.25">
      <c r="A99" s="377" t="s">
        <v>131</v>
      </c>
      <c r="B99" s="378" t="s">
        <v>632</v>
      </c>
      <c r="C99" s="379" t="s">
        <v>628</v>
      </c>
      <c r="D99" s="380">
        <v>34</v>
      </c>
      <c r="E99" s="86">
        <v>350000</v>
      </c>
      <c r="F99" s="84">
        <f t="shared" si="13"/>
        <v>11900000</v>
      </c>
      <c r="G99" s="379" t="s">
        <v>628</v>
      </c>
      <c r="H99" s="449"/>
      <c r="I99" s="86"/>
      <c r="J99" s="84">
        <f t="shared" si="14"/>
        <v>0</v>
      </c>
      <c r="K99" s="76"/>
    </row>
    <row r="100" spans="1:13" ht="15.75" x14ac:dyDescent="0.25">
      <c r="A100" s="377" t="s">
        <v>131</v>
      </c>
      <c r="B100" s="378" t="s">
        <v>788</v>
      </c>
      <c r="C100" s="379" t="s">
        <v>628</v>
      </c>
      <c r="D100" s="380">
        <v>34</v>
      </c>
      <c r="E100" s="86">
        <v>250000</v>
      </c>
      <c r="F100" s="84">
        <f t="shared" si="13"/>
        <v>8500000</v>
      </c>
      <c r="G100" s="379" t="s">
        <v>628</v>
      </c>
      <c r="H100" s="449">
        <f>16*2</f>
        <v>32</v>
      </c>
      <c r="I100" s="86">
        <v>150000</v>
      </c>
      <c r="J100" s="84">
        <f t="shared" si="14"/>
        <v>4800000</v>
      </c>
      <c r="K100" s="76"/>
    </row>
    <row r="101" spans="1:13" ht="15.75" hidden="1" x14ac:dyDescent="0.25">
      <c r="A101" s="136"/>
      <c r="B101" s="378" t="s">
        <v>633</v>
      </c>
      <c r="C101" s="379" t="s">
        <v>49</v>
      </c>
      <c r="D101" s="380">
        <v>34</v>
      </c>
      <c r="E101" s="86">
        <v>100000</v>
      </c>
      <c r="F101" s="84">
        <f t="shared" si="13"/>
        <v>3400000</v>
      </c>
      <c r="G101" s="379" t="s">
        <v>49</v>
      </c>
      <c r="H101" s="382"/>
      <c r="I101" s="86"/>
      <c r="J101" s="84">
        <f t="shared" si="14"/>
        <v>0</v>
      </c>
      <c r="K101" s="76"/>
    </row>
    <row r="102" spans="1:13" ht="28.5" x14ac:dyDescent="0.25">
      <c r="A102" s="136">
        <v>5</v>
      </c>
      <c r="B102" s="111" t="s">
        <v>683</v>
      </c>
      <c r="C102" s="79" t="s">
        <v>186</v>
      </c>
      <c r="D102" s="77">
        <v>18</v>
      </c>
      <c r="E102" s="86">
        <v>30000000</v>
      </c>
      <c r="F102" s="376">
        <f>D102*E102</f>
        <v>540000000</v>
      </c>
      <c r="G102" s="376"/>
      <c r="H102" s="87"/>
      <c r="I102" s="376"/>
      <c r="J102" s="376">
        <f>SUM(J103:J114)</f>
        <v>37710000</v>
      </c>
      <c r="K102" s="76"/>
    </row>
    <row r="103" spans="1:13" ht="31.5" x14ac:dyDescent="0.25">
      <c r="A103" s="364" t="s">
        <v>131</v>
      </c>
      <c r="B103" s="378" t="s">
        <v>849</v>
      </c>
      <c r="C103" s="77"/>
      <c r="D103" s="77"/>
      <c r="E103" s="77"/>
      <c r="F103" s="77"/>
      <c r="G103" s="379" t="s">
        <v>682</v>
      </c>
      <c r="H103" s="449">
        <v>16</v>
      </c>
      <c r="I103" s="86">
        <v>30000</v>
      </c>
      <c r="J103" s="84">
        <f t="shared" ref="J103:J114" si="15">H103*I103</f>
        <v>480000</v>
      </c>
      <c r="K103" s="76"/>
    </row>
    <row r="104" spans="1:13" ht="31.5" x14ac:dyDescent="0.25">
      <c r="A104" s="364" t="s">
        <v>131</v>
      </c>
      <c r="B104" s="378" t="s">
        <v>848</v>
      </c>
      <c r="C104" s="77"/>
      <c r="D104" s="77"/>
      <c r="E104" s="77"/>
      <c r="F104" s="77"/>
      <c r="G104" s="379" t="s">
        <v>274</v>
      </c>
      <c r="H104" s="449">
        <v>16</v>
      </c>
      <c r="I104" s="86">
        <v>50000</v>
      </c>
      <c r="J104" s="84">
        <f t="shared" si="15"/>
        <v>800000</v>
      </c>
      <c r="K104" s="76"/>
    </row>
    <row r="105" spans="1:13" ht="47.25" x14ac:dyDescent="0.25">
      <c r="A105" s="364" t="s">
        <v>131</v>
      </c>
      <c r="B105" s="378" t="s">
        <v>847</v>
      </c>
      <c r="C105" s="77"/>
      <c r="D105" s="77"/>
      <c r="E105" s="77"/>
      <c r="F105" s="77"/>
      <c r="G105" s="379" t="s">
        <v>274</v>
      </c>
      <c r="H105" s="449">
        <v>16</v>
      </c>
      <c r="I105" s="86">
        <v>50000</v>
      </c>
      <c r="J105" s="84">
        <f t="shared" si="15"/>
        <v>800000</v>
      </c>
      <c r="K105" s="76"/>
    </row>
    <row r="106" spans="1:13" ht="31.5" x14ac:dyDescent="0.25">
      <c r="A106" s="364" t="s">
        <v>131</v>
      </c>
      <c r="B106" s="423" t="s">
        <v>846</v>
      </c>
      <c r="C106" s="424"/>
      <c r="D106" s="424"/>
      <c r="E106" s="424"/>
      <c r="F106" s="424"/>
      <c r="G106" s="425" t="s">
        <v>682</v>
      </c>
      <c r="H106" s="426">
        <v>370</v>
      </c>
      <c r="I106" s="427">
        <v>50000</v>
      </c>
      <c r="J106" s="428">
        <f t="shared" si="15"/>
        <v>18500000</v>
      </c>
      <c r="K106" s="76"/>
      <c r="M106" s="452"/>
    </row>
    <row r="107" spans="1:13" ht="31.5" x14ac:dyDescent="0.25">
      <c r="A107" s="364" t="s">
        <v>131</v>
      </c>
      <c r="B107" s="378" t="s">
        <v>844</v>
      </c>
      <c r="C107" s="77"/>
      <c r="D107" s="77"/>
      <c r="E107" s="77"/>
      <c r="F107" s="77"/>
      <c r="G107" s="379" t="s">
        <v>682</v>
      </c>
      <c r="H107" s="449">
        <v>16</v>
      </c>
      <c r="I107" s="86">
        <v>50000</v>
      </c>
      <c r="J107" s="84">
        <f t="shared" si="15"/>
        <v>800000</v>
      </c>
      <c r="K107" s="76"/>
    </row>
    <row r="108" spans="1:13" ht="31.5" x14ac:dyDescent="0.25">
      <c r="A108" s="364" t="s">
        <v>131</v>
      </c>
      <c r="B108" s="378" t="s">
        <v>843</v>
      </c>
      <c r="C108" s="77"/>
      <c r="D108" s="77"/>
      <c r="E108" s="77"/>
      <c r="F108" s="77"/>
      <c r="G108" s="379" t="s">
        <v>682</v>
      </c>
      <c r="H108" s="449">
        <v>16</v>
      </c>
      <c r="I108" s="86">
        <v>50000</v>
      </c>
      <c r="J108" s="84">
        <f t="shared" si="15"/>
        <v>800000</v>
      </c>
      <c r="K108" s="76"/>
    </row>
    <row r="109" spans="1:13" ht="31.5" x14ac:dyDescent="0.25">
      <c r="A109" s="364" t="s">
        <v>131</v>
      </c>
      <c r="B109" s="378" t="s">
        <v>845</v>
      </c>
      <c r="C109" s="77"/>
      <c r="D109" s="77"/>
      <c r="E109" s="77"/>
      <c r="F109" s="77"/>
      <c r="G109" s="379" t="s">
        <v>682</v>
      </c>
      <c r="H109" s="449">
        <v>16</v>
      </c>
      <c r="I109" s="86">
        <v>50000</v>
      </c>
      <c r="J109" s="84">
        <f t="shared" si="15"/>
        <v>800000</v>
      </c>
      <c r="K109" s="76"/>
    </row>
    <row r="110" spans="1:13" ht="31.5" x14ac:dyDescent="0.25">
      <c r="A110" s="364" t="s">
        <v>131</v>
      </c>
      <c r="B110" s="378" t="s">
        <v>787</v>
      </c>
      <c r="C110" s="77"/>
      <c r="D110" s="77"/>
      <c r="E110" s="77"/>
      <c r="F110" s="77"/>
      <c r="G110" s="379" t="s">
        <v>682</v>
      </c>
      <c r="H110" s="382">
        <v>1</v>
      </c>
      <c r="I110" s="86">
        <v>100000</v>
      </c>
      <c r="J110" s="84">
        <f t="shared" si="15"/>
        <v>100000</v>
      </c>
      <c r="K110" s="76"/>
    </row>
    <row r="111" spans="1:13" ht="31.5" x14ac:dyDescent="0.25">
      <c r="A111" s="364" t="s">
        <v>131</v>
      </c>
      <c r="B111" s="423" t="s">
        <v>850</v>
      </c>
      <c r="C111" s="424"/>
      <c r="D111" s="424"/>
      <c r="E111" s="424"/>
      <c r="F111" s="424"/>
      <c r="G111" s="425" t="s">
        <v>621</v>
      </c>
      <c r="H111" s="426">
        <v>370</v>
      </c>
      <c r="I111" s="427">
        <v>35000</v>
      </c>
      <c r="J111" s="428">
        <f t="shared" si="15"/>
        <v>12950000</v>
      </c>
      <c r="K111" s="76"/>
    </row>
    <row r="112" spans="1:13" ht="31.5" x14ac:dyDescent="0.25">
      <c r="A112" s="364" t="s">
        <v>131</v>
      </c>
      <c r="B112" s="378" t="s">
        <v>840</v>
      </c>
      <c r="C112" s="77"/>
      <c r="D112" s="77"/>
      <c r="E112" s="77"/>
      <c r="F112" s="77"/>
      <c r="G112" s="379" t="s">
        <v>621</v>
      </c>
      <c r="H112" s="449">
        <v>16</v>
      </c>
      <c r="I112" s="86">
        <v>35000</v>
      </c>
      <c r="J112" s="84">
        <f t="shared" si="15"/>
        <v>560000</v>
      </c>
      <c r="K112" s="76"/>
    </row>
    <row r="113" spans="1:11" ht="31.5" x14ac:dyDescent="0.25">
      <c r="A113" s="364" t="s">
        <v>131</v>
      </c>
      <c r="B113" s="378" t="s">
        <v>841</v>
      </c>
      <c r="C113" s="77"/>
      <c r="D113" s="77"/>
      <c r="E113" s="77"/>
      <c r="F113" s="77"/>
      <c r="G113" s="379" t="s">
        <v>621</v>
      </c>
      <c r="H113" s="449">
        <v>16</v>
      </c>
      <c r="I113" s="86">
        <v>35000</v>
      </c>
      <c r="J113" s="84">
        <f t="shared" si="15"/>
        <v>560000</v>
      </c>
      <c r="K113" s="76"/>
    </row>
    <row r="114" spans="1:11" ht="31.5" x14ac:dyDescent="0.25">
      <c r="A114" s="364" t="s">
        <v>131</v>
      </c>
      <c r="B114" s="378" t="s">
        <v>842</v>
      </c>
      <c r="C114" s="77"/>
      <c r="D114" s="77"/>
      <c r="E114" s="77"/>
      <c r="F114" s="77"/>
      <c r="G114" s="379" t="s">
        <v>621</v>
      </c>
      <c r="H114" s="449">
        <v>16</v>
      </c>
      <c r="I114" s="86">
        <v>35000</v>
      </c>
      <c r="J114" s="84">
        <f t="shared" si="15"/>
        <v>560000</v>
      </c>
      <c r="K114" s="76"/>
    </row>
  </sheetData>
  <mergeCells count="2">
    <mergeCell ref="A1:L1"/>
    <mergeCell ref="K74:K75"/>
  </mergeCells>
  <phoneticPr fontId="26" type="noConversion"/>
  <pageMargins left="0.511811024" right="0.261811024" top="0.5" bottom="0.5" header="0.31496062992126" footer="0.31496062992126"/>
  <pageSetup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workbookViewId="0">
      <selection activeCell="D36" sqref="D36"/>
    </sheetView>
  </sheetViews>
  <sheetFormatPr defaultRowHeight="12.75" x14ac:dyDescent="0.2"/>
  <cols>
    <col min="1" max="1" width="5.5703125" style="231" customWidth="1"/>
    <col min="2" max="2" width="31" style="231" customWidth="1"/>
    <col min="3" max="5" width="17" style="231" customWidth="1"/>
    <col min="6" max="6" width="16" style="231" bestFit="1" customWidth="1"/>
    <col min="7" max="16384" width="9.140625" style="231"/>
  </cols>
  <sheetData>
    <row r="1" spans="1:5" ht="20.25" customHeight="1" x14ac:dyDescent="0.25">
      <c r="A1" s="496" t="s">
        <v>566</v>
      </c>
      <c r="B1" s="496"/>
      <c r="C1" s="496"/>
      <c r="D1" s="496"/>
      <c r="E1" s="496"/>
    </row>
    <row r="2" spans="1:5" ht="36" customHeight="1" x14ac:dyDescent="0.2">
      <c r="A2" s="495" t="s">
        <v>612</v>
      </c>
      <c r="B2" s="495"/>
      <c r="C2" s="495"/>
      <c r="D2" s="495"/>
      <c r="E2" s="495"/>
    </row>
    <row r="4" spans="1:5" x14ac:dyDescent="0.2">
      <c r="A4" s="493" t="s">
        <v>0</v>
      </c>
      <c r="B4" s="494" t="s">
        <v>1</v>
      </c>
      <c r="C4" s="493" t="s">
        <v>568</v>
      </c>
      <c r="D4" s="493"/>
      <c r="E4" s="493"/>
    </row>
    <row r="5" spans="1:5" x14ac:dyDescent="0.2">
      <c r="A5" s="493"/>
      <c r="B5" s="494"/>
      <c r="C5" s="233" t="s">
        <v>4</v>
      </c>
      <c r="D5" s="233" t="s">
        <v>5</v>
      </c>
      <c r="E5" s="233" t="s">
        <v>9</v>
      </c>
    </row>
    <row r="6" spans="1:5" x14ac:dyDescent="0.2">
      <c r="A6" s="233" t="s">
        <v>10</v>
      </c>
      <c r="B6" s="234" t="s">
        <v>555</v>
      </c>
      <c r="C6" s="258">
        <f>C7+C15+C16+C17+C18+C19</f>
        <v>22362765232.425064</v>
      </c>
      <c r="D6" s="258">
        <f>D7+D15+D16+D17+D18+D19</f>
        <v>3484792289.2226148</v>
      </c>
      <c r="E6" s="258">
        <f>SUM(C6:D6)</f>
        <v>25847557521.647678</v>
      </c>
    </row>
    <row r="7" spans="1:5" x14ac:dyDescent="0.2">
      <c r="A7" s="233">
        <v>1</v>
      </c>
      <c r="B7" s="234" t="s">
        <v>11</v>
      </c>
      <c r="C7" s="238">
        <f>SUM(C8:C14)</f>
        <v>5841981232.425065</v>
      </c>
      <c r="D7" s="238">
        <f>SUM(D8:D14)</f>
        <v>1482192289.2226148</v>
      </c>
      <c r="E7" s="258">
        <f>SUM(C7:D7)</f>
        <v>7324173521.6476803</v>
      </c>
    </row>
    <row r="8" spans="1:5" ht="25.5" x14ac:dyDescent="0.2">
      <c r="A8" s="232" t="s">
        <v>13</v>
      </c>
      <c r="B8" s="246" t="s">
        <v>156</v>
      </c>
      <c r="C8" s="250">
        <f>TongThe!K8</f>
        <v>236897301.48230964</v>
      </c>
      <c r="D8" s="250">
        <f>TongThe!L8</f>
        <v>159187001.29381493</v>
      </c>
      <c r="E8" s="250">
        <f t="shared" ref="E8:E26" si="0">SUM(C8:D8)</f>
        <v>396084302.7761246</v>
      </c>
    </row>
    <row r="9" spans="1:5" ht="25.5" x14ac:dyDescent="0.2">
      <c r="A9" s="232" t="s">
        <v>14</v>
      </c>
      <c r="B9" s="246" t="s">
        <v>19</v>
      </c>
      <c r="C9" s="250">
        <f>TongThe!K16</f>
        <v>579442370.49552679</v>
      </c>
      <c r="D9" s="250">
        <f>TongThe!L16</f>
        <v>1323005287.9287999</v>
      </c>
      <c r="E9" s="250">
        <f t="shared" si="0"/>
        <v>1902447658.4243267</v>
      </c>
    </row>
    <row r="10" spans="1:5" ht="25.5" x14ac:dyDescent="0.2">
      <c r="A10" s="232" t="s">
        <v>21</v>
      </c>
      <c r="B10" s="246" t="s">
        <v>157</v>
      </c>
      <c r="C10" s="250">
        <f>TongThe!K33</f>
        <v>652191686.45240009</v>
      </c>
      <c r="D10" s="247"/>
      <c r="E10" s="250">
        <f t="shared" si="0"/>
        <v>652191686.45240009</v>
      </c>
    </row>
    <row r="11" spans="1:5" ht="25.5" x14ac:dyDescent="0.2">
      <c r="A11" s="232" t="s">
        <v>22</v>
      </c>
      <c r="B11" s="246" t="s">
        <v>549</v>
      </c>
      <c r="C11" s="250">
        <f>TongThe!K40</f>
        <v>1699830733.7504709</v>
      </c>
      <c r="D11" s="247"/>
      <c r="E11" s="250">
        <f t="shared" si="0"/>
        <v>1699830733.7504709</v>
      </c>
    </row>
    <row r="12" spans="1:5" ht="51" x14ac:dyDescent="0.2">
      <c r="A12" s="232" t="s">
        <v>31</v>
      </c>
      <c r="B12" s="246" t="s">
        <v>544</v>
      </c>
      <c r="C12" s="250">
        <f>TongThe!K55</f>
        <v>1610253878.1555467</v>
      </c>
      <c r="D12" s="247"/>
      <c r="E12" s="250">
        <f t="shared" si="0"/>
        <v>1610253878.1555467</v>
      </c>
    </row>
    <row r="13" spans="1:5" ht="51" x14ac:dyDescent="0.2">
      <c r="A13" s="232" t="s">
        <v>144</v>
      </c>
      <c r="B13" s="246" t="s">
        <v>570</v>
      </c>
      <c r="C13" s="250">
        <f>TongThe!K96</f>
        <v>968369000.56650007</v>
      </c>
      <c r="D13" s="236"/>
      <c r="E13" s="250">
        <f t="shared" si="0"/>
        <v>968369000.56650007</v>
      </c>
    </row>
    <row r="14" spans="1:5" ht="38.25" x14ac:dyDescent="0.2">
      <c r="A14" s="232" t="s">
        <v>557</v>
      </c>
      <c r="B14" s="246" t="s">
        <v>547</v>
      </c>
      <c r="C14" s="250">
        <f>TongThe!K99</f>
        <v>94996261.522311583</v>
      </c>
      <c r="D14" s="247"/>
      <c r="E14" s="250">
        <f t="shared" si="0"/>
        <v>94996261.522311583</v>
      </c>
    </row>
    <row r="15" spans="1:5" ht="25.5" x14ac:dyDescent="0.2">
      <c r="A15" s="233">
        <v>2</v>
      </c>
      <c r="B15" s="239" t="s">
        <v>552</v>
      </c>
      <c r="C15" s="237"/>
      <c r="D15" s="238">
        <f>TongThe!L106</f>
        <v>2002600000</v>
      </c>
      <c r="E15" s="238">
        <f t="shared" si="0"/>
        <v>2002600000</v>
      </c>
    </row>
    <row r="16" spans="1:5" x14ac:dyDescent="0.2">
      <c r="A16" s="233">
        <v>3</v>
      </c>
      <c r="B16" s="239" t="s">
        <v>158</v>
      </c>
      <c r="C16" s="238">
        <f>TongThe!K115</f>
        <v>15103134000</v>
      </c>
      <c r="D16" s="237"/>
      <c r="E16" s="238">
        <f t="shared" si="0"/>
        <v>15103134000</v>
      </c>
    </row>
    <row r="17" spans="1:6" ht="25.5" x14ac:dyDescent="0.2">
      <c r="A17" s="233">
        <v>4</v>
      </c>
      <c r="B17" s="239" t="s">
        <v>178</v>
      </c>
      <c r="C17" s="238">
        <f>TongThe!K134</f>
        <v>792650000</v>
      </c>
      <c r="D17" s="236"/>
      <c r="E17" s="238">
        <f t="shared" si="0"/>
        <v>792650000</v>
      </c>
    </row>
    <row r="18" spans="1:6" ht="25.5" x14ac:dyDescent="0.2">
      <c r="A18" s="233">
        <v>5</v>
      </c>
      <c r="B18" s="239" t="s">
        <v>181</v>
      </c>
      <c r="C18" s="238">
        <f>TongThe!K187</f>
        <v>85000000</v>
      </c>
      <c r="D18" s="236"/>
      <c r="E18" s="238">
        <f t="shared" si="0"/>
        <v>85000000</v>
      </c>
    </row>
    <row r="19" spans="1:6" ht="25.5" x14ac:dyDescent="0.2">
      <c r="A19" s="233">
        <v>6</v>
      </c>
      <c r="B19" s="239" t="s">
        <v>228</v>
      </c>
      <c r="C19" s="238">
        <f>TongThe!K188</f>
        <v>540000000</v>
      </c>
      <c r="D19" s="236"/>
      <c r="E19" s="238">
        <f t="shared" si="0"/>
        <v>540000000</v>
      </c>
    </row>
    <row r="20" spans="1:6" x14ac:dyDescent="0.2">
      <c r="A20" s="233" t="s">
        <v>57</v>
      </c>
      <c r="B20" s="239" t="s">
        <v>68</v>
      </c>
      <c r="C20" s="238">
        <f>SUM(C21:C24)</f>
        <v>475058958.83242929</v>
      </c>
      <c r="D20" s="236"/>
      <c r="E20" s="238">
        <f t="shared" si="0"/>
        <v>475058958.83242929</v>
      </c>
    </row>
    <row r="21" spans="1:6" ht="25.5" x14ac:dyDescent="0.2">
      <c r="A21" s="232">
        <v>1</v>
      </c>
      <c r="B21" s="246" t="s">
        <v>269</v>
      </c>
      <c r="C21" s="250">
        <f>TongThe!K190</f>
        <v>56743576.923707284</v>
      </c>
      <c r="D21" s="236"/>
      <c r="E21" s="250">
        <f t="shared" si="0"/>
        <v>56743576.923707284</v>
      </c>
    </row>
    <row r="22" spans="1:6" ht="25.5" x14ac:dyDescent="0.2">
      <c r="A22" s="232">
        <v>2</v>
      </c>
      <c r="B22" s="246" t="s">
        <v>168</v>
      </c>
      <c r="C22" s="250">
        <f>TongThe!K191</f>
        <v>42240000</v>
      </c>
      <c r="D22" s="236"/>
      <c r="E22" s="250">
        <f t="shared" si="0"/>
        <v>42240000</v>
      </c>
    </row>
    <row r="23" spans="1:6" x14ac:dyDescent="0.2">
      <c r="A23" s="232">
        <v>3</v>
      </c>
      <c r="B23" s="246" t="s">
        <v>268</v>
      </c>
      <c r="C23" s="250">
        <f>TongThe!K192</f>
        <v>252193675.2164768</v>
      </c>
      <c r="D23" s="236"/>
      <c r="E23" s="250">
        <f t="shared" si="0"/>
        <v>252193675.2164768</v>
      </c>
    </row>
    <row r="24" spans="1:6" x14ac:dyDescent="0.2">
      <c r="A24" s="232">
        <v>4</v>
      </c>
      <c r="B24" s="246" t="s">
        <v>270</v>
      </c>
      <c r="C24" s="250">
        <f>TongThe!K193</f>
        <v>123881706.69224527</v>
      </c>
      <c r="D24" s="236"/>
      <c r="E24" s="250">
        <f t="shared" si="0"/>
        <v>123881706.69224527</v>
      </c>
    </row>
    <row r="25" spans="1:6" x14ac:dyDescent="0.2">
      <c r="A25" s="233" t="s">
        <v>58</v>
      </c>
      <c r="B25" s="239" t="s">
        <v>565</v>
      </c>
      <c r="C25" s="261">
        <f>TongThe!K194</f>
        <v>2032238556.044723</v>
      </c>
      <c r="D25" s="261">
        <f>TongThe!L194</f>
        <v>453213196.12004519</v>
      </c>
      <c r="E25" s="238">
        <f t="shared" si="0"/>
        <v>2485451752.1647682</v>
      </c>
      <c r="F25" s="262"/>
    </row>
    <row r="26" spans="1:6" ht="18.75" customHeight="1" x14ac:dyDescent="0.2">
      <c r="A26" s="254"/>
      <c r="B26" s="233" t="s">
        <v>566</v>
      </c>
      <c r="C26" s="258">
        <f>C6+C20+C25</f>
        <v>24870062747.302216</v>
      </c>
      <c r="D26" s="258">
        <f>D6+D20+D25</f>
        <v>3938005485.34266</v>
      </c>
      <c r="E26" s="290">
        <f t="shared" si="0"/>
        <v>28808068232.644875</v>
      </c>
    </row>
    <row r="27" spans="1:6" x14ac:dyDescent="0.2">
      <c r="D27" s="259"/>
      <c r="E27" s="266"/>
    </row>
    <row r="28" spans="1:6" ht="15" x14ac:dyDescent="0.2">
      <c r="D28" s="265"/>
    </row>
  </sheetData>
  <mergeCells count="5">
    <mergeCell ref="C4:E4"/>
    <mergeCell ref="A4:A5"/>
    <mergeCell ref="B4:B5"/>
    <mergeCell ref="A2:E2"/>
    <mergeCell ref="A1:E1"/>
  </mergeCells>
  <pageMargins left="0.7" right="0.2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7"/>
  <sheetViews>
    <sheetView topLeftCell="A64" workbookViewId="0">
      <selection activeCell="K7" sqref="K7"/>
    </sheetView>
  </sheetViews>
  <sheetFormatPr defaultRowHeight="12.75" x14ac:dyDescent="0.2"/>
  <cols>
    <col min="1" max="1" width="5.5703125" style="231" customWidth="1"/>
    <col min="2" max="2" width="19.42578125" style="231" customWidth="1"/>
    <col min="3" max="4" width="9.28515625" style="231" bestFit="1" customWidth="1"/>
    <col min="5" max="5" width="9.140625" style="231"/>
    <col min="6" max="6" width="10.28515625" style="231" customWidth="1"/>
    <col min="7" max="7" width="9.140625" style="231"/>
    <col min="8" max="8" width="9.28515625" style="231" bestFit="1" customWidth="1"/>
    <col min="9" max="9" width="10" style="231" bestFit="1" customWidth="1"/>
    <col min="10" max="10" width="9.28515625" style="231" bestFit="1" customWidth="1"/>
    <col min="11" max="11" width="13.7109375" style="231" customWidth="1"/>
    <col min="12" max="12" width="13.5703125" style="231" customWidth="1"/>
    <col min="13" max="13" width="13.85546875" style="231" customWidth="1"/>
    <col min="14" max="14" width="16" style="231" bestFit="1" customWidth="1"/>
    <col min="15" max="16384" width="9.140625" style="231"/>
  </cols>
  <sheetData>
    <row r="1" spans="1:13" ht="15.75" x14ac:dyDescent="0.25">
      <c r="A1" s="496" t="s">
        <v>611</v>
      </c>
      <c r="B1" s="496"/>
      <c r="C1" s="496"/>
      <c r="D1" s="496"/>
      <c r="E1" s="496"/>
      <c r="F1" s="496"/>
      <c r="G1" s="496"/>
      <c r="H1" s="496"/>
      <c r="I1" s="496"/>
      <c r="J1" s="496"/>
      <c r="K1" s="496"/>
      <c r="L1" s="496"/>
      <c r="M1" s="496"/>
    </row>
    <row r="2" spans="1:13" ht="36.75" customHeight="1" x14ac:dyDescent="0.25">
      <c r="A2" s="497" t="s">
        <v>612</v>
      </c>
      <c r="B2" s="497"/>
      <c r="C2" s="497"/>
      <c r="D2" s="497"/>
      <c r="E2" s="497"/>
      <c r="F2" s="497"/>
      <c r="G2" s="497"/>
      <c r="H2" s="497"/>
      <c r="I2" s="497"/>
      <c r="J2" s="497"/>
      <c r="K2" s="497"/>
      <c r="L2" s="497"/>
      <c r="M2" s="497"/>
    </row>
    <row r="4" spans="1:13" x14ac:dyDescent="0.2">
      <c r="A4" s="493" t="s">
        <v>0</v>
      </c>
      <c r="B4" s="494" t="s">
        <v>1</v>
      </c>
      <c r="C4" s="493" t="s">
        <v>2</v>
      </c>
      <c r="D4" s="493" t="s">
        <v>162</v>
      </c>
      <c r="E4" s="493"/>
      <c r="F4" s="493" t="s">
        <v>163</v>
      </c>
      <c r="G4" s="493"/>
      <c r="H4" s="493" t="s">
        <v>3</v>
      </c>
      <c r="I4" s="493"/>
      <c r="J4" s="493"/>
      <c r="K4" s="493" t="s">
        <v>74</v>
      </c>
      <c r="L4" s="493"/>
      <c r="M4" s="493"/>
    </row>
    <row r="5" spans="1:13" ht="25.5" x14ac:dyDescent="0.2">
      <c r="A5" s="493"/>
      <c r="B5" s="494"/>
      <c r="C5" s="493"/>
      <c r="D5" s="232" t="s">
        <v>4</v>
      </c>
      <c r="E5" s="232" t="s">
        <v>5</v>
      </c>
      <c r="F5" s="233" t="s">
        <v>4</v>
      </c>
      <c r="G5" s="233" t="s">
        <v>5</v>
      </c>
      <c r="H5" s="233" t="s">
        <v>6</v>
      </c>
      <c r="I5" s="233" t="s">
        <v>7</v>
      </c>
      <c r="J5" s="233" t="s">
        <v>8</v>
      </c>
      <c r="K5" s="233" t="s">
        <v>4</v>
      </c>
      <c r="L5" s="233" t="s">
        <v>5</v>
      </c>
      <c r="M5" s="233" t="s">
        <v>9</v>
      </c>
    </row>
    <row r="6" spans="1:13" ht="25.5" x14ac:dyDescent="0.2">
      <c r="A6" s="233" t="s">
        <v>10</v>
      </c>
      <c r="B6" s="234" t="s">
        <v>555</v>
      </c>
      <c r="C6" s="235"/>
      <c r="D6" s="236"/>
      <c r="E6" s="236"/>
      <c r="F6" s="237"/>
      <c r="G6" s="237"/>
      <c r="H6" s="237"/>
      <c r="I6" s="237"/>
      <c r="J6" s="237"/>
      <c r="K6" s="258">
        <f>K7+K106+K115+K134+K187+K188</f>
        <v>22362765232.425064</v>
      </c>
      <c r="L6" s="258">
        <f>L7+L106+L115+L134+L187+L188</f>
        <v>3484792289.2226148</v>
      </c>
      <c r="M6" s="258">
        <f t="shared" ref="M6:M71" si="0">SUM(K6:L6)</f>
        <v>25847557521.647678</v>
      </c>
    </row>
    <row r="7" spans="1:13" x14ac:dyDescent="0.2">
      <c r="A7" s="233">
        <v>1</v>
      </c>
      <c r="B7" s="234" t="s">
        <v>11</v>
      </c>
      <c r="C7" s="235"/>
      <c r="D7" s="236"/>
      <c r="E7" s="236"/>
      <c r="F7" s="237"/>
      <c r="G7" s="237"/>
      <c r="H7" s="237"/>
      <c r="I7" s="237"/>
      <c r="J7" s="237"/>
      <c r="K7" s="238">
        <f>K8+K16+K33+K40+K55+K96+K99</f>
        <v>5841981232.425065</v>
      </c>
      <c r="L7" s="238">
        <f>L8+L16+L33+L40+L55+L96+L99</f>
        <v>1482192289.2226148</v>
      </c>
      <c r="M7" s="238">
        <f t="shared" si="0"/>
        <v>7324173521.6476803</v>
      </c>
    </row>
    <row r="8" spans="1:13" ht="25.5" x14ac:dyDescent="0.2">
      <c r="A8" s="233">
        <f>'Biểu 01'!A8</f>
        <v>1</v>
      </c>
      <c r="B8" s="239" t="str">
        <f>'Biểu 01'!B8</f>
        <v xml:space="preserve">Thu thập thông tin, tài liệu, số liệu, bản đồ </v>
      </c>
      <c r="C8" s="239"/>
      <c r="D8" s="240"/>
      <c r="E8" s="240"/>
      <c r="F8" s="241"/>
      <c r="G8" s="241"/>
      <c r="H8" s="241"/>
      <c r="I8" s="241"/>
      <c r="J8" s="241"/>
      <c r="K8" s="238">
        <f>'Biểu 01'!W8</f>
        <v>236897301.48230964</v>
      </c>
      <c r="L8" s="238">
        <f>'Biểu 01'!X8</f>
        <v>159187001.29381493</v>
      </c>
      <c r="M8" s="238">
        <f t="shared" si="0"/>
        <v>396084302.7761246</v>
      </c>
    </row>
    <row r="9" spans="1:13" ht="27" x14ac:dyDescent="0.2">
      <c r="A9" s="242" t="str">
        <f>'Biểu 01'!A9</f>
        <v>1.1</v>
      </c>
      <c r="B9" s="243" t="str">
        <f>'Biểu 01'!B9</f>
        <v xml:space="preserve">Thu thập thông tin, tài liệu, số liệu, bản đồ </v>
      </c>
      <c r="C9" s="243"/>
      <c r="D9" s="240"/>
      <c r="E9" s="240"/>
      <c r="F9" s="241"/>
      <c r="G9" s="241"/>
      <c r="H9" s="241"/>
      <c r="I9" s="241"/>
      <c r="J9" s="241"/>
      <c r="K9" s="244"/>
      <c r="L9" s="245">
        <f>'Biểu 01'!X9</f>
        <v>159187001.29381493</v>
      </c>
      <c r="M9" s="245">
        <f t="shared" si="0"/>
        <v>159187001.29381493</v>
      </c>
    </row>
    <row r="10" spans="1:13" ht="89.25" x14ac:dyDescent="0.2">
      <c r="A10" s="232" t="str">
        <f>'Biểu 01'!A10</f>
        <v>-</v>
      </c>
      <c r="B10" s="246" t="str">
        <f>'Biểu 01'!B10</f>
        <v>Thu thập nhóm tài liệu, số liệu, bản đồ về điều liện tự nhiên, tài nguyên thiên nhiên có liên quan đến chất lượng đất, tiềm năng đất đai</v>
      </c>
      <c r="C10" s="232" t="str">
        <f>'Biểu 01'!N10</f>
        <v>Nhóm 3 (1KTV6, 2KS3)</v>
      </c>
      <c r="D10" s="240"/>
      <c r="E10" s="247">
        <f>'Biểu 01'!P10</f>
        <v>82</v>
      </c>
      <c r="F10" s="241"/>
      <c r="G10" s="248">
        <f>'Biểu 01'!R10</f>
        <v>984789</v>
      </c>
      <c r="H10" s="247">
        <f>'Biểu 01'!S10</f>
        <v>0.93735480000000004</v>
      </c>
      <c r="I10" s="247">
        <f>'Biểu 01'!T10</f>
        <v>1.0138088814763606</v>
      </c>
      <c r="J10" s="247">
        <f>'Biểu 01'!U10</f>
        <v>1.05</v>
      </c>
      <c r="K10" s="249"/>
      <c r="L10" s="250">
        <f>'Biểu 01'!X10</f>
        <v>80576136.457363114</v>
      </c>
      <c r="M10" s="250">
        <f t="shared" si="0"/>
        <v>80576136.457363114</v>
      </c>
    </row>
    <row r="11" spans="1:13" ht="89.25" x14ac:dyDescent="0.2">
      <c r="A11" s="232" t="str">
        <f>'Biểu 01'!A11</f>
        <v>-</v>
      </c>
      <c r="B11" s="246" t="str">
        <f>'Biểu 01'!B11</f>
        <v>Thu thập nhóm tài liệu, số liệu, bản đồ về điều liện tự nhiên, tài nguyên thiên nhiên có liên quan đến chất lượng đất, tiềm năng đất đai</v>
      </c>
      <c r="C11" s="232" t="str">
        <f>'Biểu 01'!N11</f>
        <v>Nhóm 3 (1KTV6, 2KS3)</v>
      </c>
      <c r="D11" s="240"/>
      <c r="E11" s="247">
        <f>'Biểu 01'!P11</f>
        <v>80</v>
      </c>
      <c r="F11" s="241"/>
      <c r="G11" s="248">
        <f>'Biểu 01'!R11</f>
        <v>984789</v>
      </c>
      <c r="H11" s="247">
        <f>'Biểu 01'!S11</f>
        <v>0.93735480000000004</v>
      </c>
      <c r="I11" s="247">
        <f>'Biểu 01'!T11</f>
        <v>1.0138088814763606</v>
      </c>
      <c r="J11" s="247">
        <f>'Biểu 01'!U11</f>
        <v>1.05</v>
      </c>
      <c r="K11" s="249"/>
      <c r="L11" s="250">
        <f>'Biểu 01'!X11</f>
        <v>78610864.836451814</v>
      </c>
      <c r="M11" s="250">
        <f t="shared" si="0"/>
        <v>78610864.836451814</v>
      </c>
    </row>
    <row r="12" spans="1:13" ht="54" x14ac:dyDescent="0.2">
      <c r="A12" s="242" t="str">
        <f>'Biểu 01'!A12</f>
        <v>1.2</v>
      </c>
      <c r="B12" s="243" t="str">
        <f>'Biểu 01'!B12</f>
        <v>Đánh giá, lựa chọn các thông tin, tài liệu, số liệu, bản đồ đã thu thập</v>
      </c>
      <c r="C12" s="242"/>
      <c r="D12" s="240"/>
      <c r="E12" s="240"/>
      <c r="F12" s="241"/>
      <c r="G12" s="241"/>
      <c r="H12" s="241"/>
      <c r="I12" s="241"/>
      <c r="J12" s="241"/>
      <c r="K12" s="245">
        <f>'Biểu 01'!W12</f>
        <v>236897301.48230964</v>
      </c>
      <c r="L12" s="244"/>
      <c r="M12" s="245">
        <f t="shared" si="0"/>
        <v>236897301.48230964</v>
      </c>
    </row>
    <row r="13" spans="1:13" ht="76.5" x14ac:dyDescent="0.2">
      <c r="A13" s="232" t="str">
        <f>'Biểu 01'!A13</f>
        <v>-</v>
      </c>
      <c r="B13" s="246" t="str">
        <f>'Biểu 01'!B13</f>
        <v>Tổng hợp, phân tích, đánh giá về tính chính xác, khách quan, thời sự của thông tin, tài liệu, số liệu, bản đồ đã thu thập</v>
      </c>
      <c r="C13" s="232" t="str">
        <f>'Biểu 01'!N13</f>
        <v>Nhóm 4 (4KS3)</v>
      </c>
      <c r="D13" s="247">
        <f>'Biểu 01'!O13</f>
        <v>88</v>
      </c>
      <c r="E13" s="240"/>
      <c r="F13" s="248">
        <f>'Biểu 01'!Q13</f>
        <v>1333800</v>
      </c>
      <c r="G13" s="241"/>
      <c r="H13" s="247">
        <f>'Biểu 01'!S13</f>
        <v>0.93735480000000004</v>
      </c>
      <c r="I13" s="247">
        <f>'Biểu 01'!T13</f>
        <v>1.0138088814763606</v>
      </c>
      <c r="J13" s="247">
        <f>'Biểu 01'!U13</f>
        <v>1.05</v>
      </c>
      <c r="K13" s="250">
        <f>'Biểu 01'!W13</f>
        <v>117117767.02496207</v>
      </c>
      <c r="L13" s="247"/>
      <c r="M13" s="250">
        <f t="shared" si="0"/>
        <v>117117767.02496207</v>
      </c>
    </row>
    <row r="14" spans="1:13" ht="76.5" x14ac:dyDescent="0.2">
      <c r="A14" s="232" t="str">
        <f>'Biểu 01'!A14</f>
        <v>-</v>
      </c>
      <c r="B14" s="246" t="str">
        <f>'Biểu 01'!B14</f>
        <v xml:space="preserve">Lựa chọn thông tin, tài liệu, số liệu, bản đồ có thể sử dụng, xác định những thông tin, tài liệu, số liệu, bản đồ cần điều tra bổ sung </v>
      </c>
      <c r="C14" s="232" t="str">
        <f>'Biểu 01'!N14</f>
        <v>Nhóm 4 (4KS3)</v>
      </c>
      <c r="D14" s="247">
        <f>'Biểu 01'!O14</f>
        <v>80</v>
      </c>
      <c r="E14" s="240"/>
      <c r="F14" s="248">
        <f>'Biểu 01'!Q14</f>
        <v>1333800</v>
      </c>
      <c r="G14" s="241"/>
      <c r="H14" s="247">
        <f>'Biểu 01'!S14</f>
        <v>0.93735480000000004</v>
      </c>
      <c r="I14" s="247">
        <f>'Biểu 01'!T14</f>
        <v>1.0138088814763606</v>
      </c>
      <c r="J14" s="247">
        <f>'Biểu 01'!U14</f>
        <v>1.05</v>
      </c>
      <c r="K14" s="250">
        <f>'Biểu 01'!W14</f>
        <v>106470697.29542005</v>
      </c>
      <c r="L14" s="247"/>
      <c r="M14" s="250">
        <f t="shared" si="0"/>
        <v>106470697.29542005</v>
      </c>
    </row>
    <row r="15" spans="1:13" ht="51" x14ac:dyDescent="0.2">
      <c r="A15" s="232" t="str">
        <f>'Biểu 01'!A15</f>
        <v>-</v>
      </c>
      <c r="B15" s="246" t="str">
        <f>'Biểu 01'!B15</f>
        <v>Xây dựng báo cáo đánh giá, lựa chọn các thông tin, tài liệu, số liệu, bản đồ đã thu thập</v>
      </c>
      <c r="C15" s="232" t="str">
        <f>'Biểu 01'!N15</f>
        <v>Nhóm 2 (2KS3)</v>
      </c>
      <c r="D15" s="247">
        <f>'Biểu 01'!O15</f>
        <v>20</v>
      </c>
      <c r="E15" s="240"/>
      <c r="F15" s="248">
        <f>'Biểu 01'!Q15</f>
        <v>666900</v>
      </c>
      <c r="G15" s="241"/>
      <c r="H15" s="247">
        <f>'Biểu 01'!S15</f>
        <v>0.93735480000000004</v>
      </c>
      <c r="I15" s="247">
        <f>'Biểu 01'!T15</f>
        <v>1.0138088814763606</v>
      </c>
      <c r="J15" s="247">
        <f>'Biểu 01'!U15</f>
        <v>1.05</v>
      </c>
      <c r="K15" s="250">
        <f>'Biểu 01'!W15</f>
        <v>13308837.161927506</v>
      </c>
      <c r="L15" s="247"/>
      <c r="M15" s="250">
        <f t="shared" si="0"/>
        <v>13308837.161927506</v>
      </c>
    </row>
    <row r="16" spans="1:13" ht="38.25" x14ac:dyDescent="0.2">
      <c r="A16" s="233">
        <f>'Biểu 01'!A16</f>
        <v>2</v>
      </c>
      <c r="B16" s="239" t="str">
        <f>'Biểu 01'!B16</f>
        <v xml:space="preserve">Lập kế hoạch và điều tra lấy mẫu đất tại thực địa  </v>
      </c>
      <c r="C16" s="232"/>
      <c r="D16" s="240"/>
      <c r="E16" s="240"/>
      <c r="F16" s="241"/>
      <c r="G16" s="241"/>
      <c r="H16" s="241"/>
      <c r="I16" s="241"/>
      <c r="J16" s="241"/>
      <c r="K16" s="238">
        <f>'Biểu 01'!W16</f>
        <v>579442370.49552679</v>
      </c>
      <c r="L16" s="238">
        <f>'Biểu 01'!X16</f>
        <v>1323005287.9287999</v>
      </c>
      <c r="M16" s="238">
        <f t="shared" si="0"/>
        <v>1902447658.4243267</v>
      </c>
    </row>
    <row r="17" spans="1:13" ht="40.5" x14ac:dyDescent="0.2">
      <c r="A17" s="242" t="str">
        <f>'Biểu 01'!A17</f>
        <v>2.1</v>
      </c>
      <c r="B17" s="243" t="str">
        <f>'Biểu 01'!B17</f>
        <v>Xác định nội dung và kế hoạch điều tra, lấy mẫu thực địa</v>
      </c>
      <c r="C17" s="242"/>
      <c r="D17" s="240"/>
      <c r="E17" s="240"/>
      <c r="F17" s="241"/>
      <c r="G17" s="241"/>
      <c r="H17" s="241"/>
      <c r="I17" s="241"/>
      <c r="J17" s="241"/>
      <c r="K17" s="245">
        <f>'Biểu 01'!W17</f>
        <v>449015766.30863726</v>
      </c>
      <c r="L17" s="245">
        <f>'Biểu 01'!X17</f>
        <v>14948042.272371579</v>
      </c>
      <c r="M17" s="245">
        <f t="shared" si="0"/>
        <v>463963808.58100885</v>
      </c>
    </row>
    <row r="18" spans="1:13" ht="38.25" x14ac:dyDescent="0.2">
      <c r="A18" s="232" t="str">
        <f>'Biểu 01'!A18</f>
        <v>a</v>
      </c>
      <c r="B18" s="246" t="str">
        <f>'Biểu 01'!B18</f>
        <v>Chuẩn bị bản đồ kết quả điều tra</v>
      </c>
      <c r="C18" s="232" t="str">
        <f>'Biểu 01'!N18</f>
        <v>Nhóm 4 (1KTV6, 3KS3)</v>
      </c>
      <c r="D18" s="247">
        <f>'Biểu 01'!O18</f>
        <v>84</v>
      </c>
      <c r="E18" s="240"/>
      <c r="F18" s="248">
        <f>'Biểu 01'!Q18</f>
        <v>1318239</v>
      </c>
      <c r="G18" s="241"/>
      <c r="H18" s="247">
        <f>'Biểu 01'!S18</f>
        <v>0.93735480000000004</v>
      </c>
      <c r="I18" s="247">
        <f>'Biểu 01'!T18</f>
        <v>1.0138088814763606</v>
      </c>
      <c r="J18" s="247">
        <f>'Biểu 01'!U18</f>
        <v>1.05</v>
      </c>
      <c r="K18" s="250">
        <f>'Biểu 01'!W18</f>
        <v>110489966.11832218</v>
      </c>
      <c r="L18" s="247"/>
      <c r="M18" s="250">
        <f t="shared" si="0"/>
        <v>110489966.11832218</v>
      </c>
    </row>
    <row r="19" spans="1:13" ht="63.75" x14ac:dyDescent="0.2">
      <c r="A19" s="232" t="str">
        <f>'Biểu 01'!A19</f>
        <v>b</v>
      </c>
      <c r="B19" s="246" t="str">
        <f>'Biểu 01'!B19</f>
        <v>Khảo sát sơ bộ và xác định thông tin, nội dung, số lượng phẫu diện khu vực cần điều tra tại thực địa</v>
      </c>
      <c r="C19" s="232"/>
      <c r="D19" s="240"/>
      <c r="E19" s="240"/>
      <c r="F19" s="241"/>
      <c r="G19" s="241"/>
      <c r="H19" s="241"/>
      <c r="I19" s="241"/>
      <c r="J19" s="241"/>
      <c r="K19" s="250">
        <f>'Biểu 01'!W19</f>
        <v>18670080.398657307</v>
      </c>
      <c r="L19" s="250">
        <f>'Biểu 01'!X19</f>
        <v>14948042.272371579</v>
      </c>
      <c r="M19" s="250">
        <f t="shared" si="0"/>
        <v>33618122.671028882</v>
      </c>
    </row>
    <row r="20" spans="1:13" ht="38.25" x14ac:dyDescent="0.2">
      <c r="A20" s="232" t="str">
        <f>'Biểu 01'!A20</f>
        <v>-</v>
      </c>
      <c r="B20" s="246" t="str">
        <f>'Biểu 01'!B20</f>
        <v>Khảo sát sơ bộ, xác định hướng, tuyến điều tra</v>
      </c>
      <c r="C20" s="232" t="str">
        <f>'Biểu 01'!N20</f>
        <v>Nhóm 2 (1KTV 6; 1KS3)</v>
      </c>
      <c r="D20" s="240"/>
      <c r="E20" s="247">
        <f>'Biểu 01'!P20</f>
        <v>23</v>
      </c>
      <c r="F20" s="241"/>
      <c r="G20" s="248">
        <f>'Biểu 01'!R20</f>
        <v>651339</v>
      </c>
      <c r="H20" s="247">
        <f>'Biểu 01'!S20</f>
        <v>0.93735480000000004</v>
      </c>
      <c r="I20" s="247">
        <f>'Biểu 01'!T20</f>
        <v>1.0138088814763606</v>
      </c>
      <c r="J20" s="247">
        <f>'Biểu 01'!U20</f>
        <v>1.05</v>
      </c>
      <c r="K20" s="247"/>
      <c r="L20" s="250">
        <f>'Biểu 01'!X20</f>
        <v>14948042.272371579</v>
      </c>
      <c r="M20" s="250">
        <f t="shared" si="0"/>
        <v>14948042.272371579</v>
      </c>
    </row>
    <row r="21" spans="1:13" ht="51" x14ac:dyDescent="0.2">
      <c r="A21" s="232" t="str">
        <f>'Biểu 01'!A21</f>
        <v>-</v>
      </c>
      <c r="B21" s="246" t="str">
        <f>'Biểu 01'!B21</f>
        <v>Tính toán số lượng phẫu diện đấtm số lượng khoanh đất điều tra</v>
      </c>
      <c r="C21" s="232" t="str">
        <f>'Biểu 01'!N21</f>
        <v>Nhóm 3 (1KTV6, 2KS3)</v>
      </c>
      <c r="D21" s="247">
        <f>'Biểu 01'!O21</f>
        <v>19</v>
      </c>
      <c r="E21" s="240"/>
      <c r="F21" s="248">
        <f>'Biểu 01'!Q21</f>
        <v>984789</v>
      </c>
      <c r="G21" s="241"/>
      <c r="H21" s="247">
        <f>'Biểu 01'!S21</f>
        <v>0.93735480000000004</v>
      </c>
      <c r="I21" s="247">
        <f>'Biểu 01'!T21</f>
        <v>1.0138088814763606</v>
      </c>
      <c r="J21" s="247">
        <f>'Biểu 01'!U21</f>
        <v>1.05</v>
      </c>
      <c r="K21" s="250">
        <f>'Biểu 01'!W21</f>
        <v>18670080.398657307</v>
      </c>
      <c r="L21" s="247"/>
      <c r="M21" s="250">
        <f t="shared" si="0"/>
        <v>18670080.398657307</v>
      </c>
    </row>
    <row r="22" spans="1:13" ht="51" x14ac:dyDescent="0.2">
      <c r="A22" s="232" t="str">
        <f>'Biểu 01'!A22</f>
        <v>c</v>
      </c>
      <c r="B22" s="246" t="str">
        <f>'Biểu 01'!B22</f>
        <v>Xác định ranh giới khoanh đất, điểm đào phẫu diện đất lên bản đồ kết quả điều tra</v>
      </c>
      <c r="C22" s="232" t="str">
        <f>'Biểu 01'!N22</f>
        <v>Nhóm 4 (2KTV6, 2KS3)</v>
      </c>
      <c r="D22" s="247">
        <f>'Biểu 01'!O22</f>
        <v>200</v>
      </c>
      <c r="E22" s="240"/>
      <c r="F22" s="248">
        <f>'Biểu 01'!Q22</f>
        <v>1302678</v>
      </c>
      <c r="G22" s="241"/>
      <c r="H22" s="247">
        <f>'Biểu 01'!S22</f>
        <v>0.93735480000000004</v>
      </c>
      <c r="I22" s="247">
        <f>'Biểu 01'!T22</f>
        <v>1.0138088814763606</v>
      </c>
      <c r="J22" s="247">
        <f>'Biểu 01'!U22</f>
        <v>1.05</v>
      </c>
      <c r="K22" s="250">
        <f>'Biểu 01'!W22</f>
        <v>259965952.56298399</v>
      </c>
      <c r="L22" s="247"/>
      <c r="M22" s="250">
        <f t="shared" si="0"/>
        <v>259965952.56298399</v>
      </c>
    </row>
    <row r="23" spans="1:13" ht="38.25" x14ac:dyDescent="0.2">
      <c r="A23" s="232" t="str">
        <f>'Biểu 01'!A23</f>
        <v>d</v>
      </c>
      <c r="B23" s="246" t="str">
        <f>'Biểu 01'!B23</f>
        <v>Chuẩn bị bản tả phẫu diện đất, phiếu điều tra khoanh đất</v>
      </c>
      <c r="C23" s="232" t="str">
        <f>'Biểu 01'!N23</f>
        <v>Nhóm 2 (2KS3)</v>
      </c>
      <c r="D23" s="247">
        <f>'Biểu 01'!O23</f>
        <v>20</v>
      </c>
      <c r="E23" s="240"/>
      <c r="F23" s="248">
        <f>'Biểu 01'!Q23</f>
        <v>666900</v>
      </c>
      <c r="G23" s="241"/>
      <c r="H23" s="247">
        <f>'Biểu 01'!S23</f>
        <v>0.93735480000000004</v>
      </c>
      <c r="I23" s="247">
        <f>'Biểu 01'!T23</f>
        <v>1.0138088814763606</v>
      </c>
      <c r="J23" s="247">
        <f>'Biểu 01'!U23</f>
        <v>1.05</v>
      </c>
      <c r="K23" s="250">
        <f>'Biểu 01'!W23</f>
        <v>13308837.161927506</v>
      </c>
      <c r="L23" s="247"/>
      <c r="M23" s="250">
        <f t="shared" si="0"/>
        <v>13308837.161927506</v>
      </c>
    </row>
    <row r="24" spans="1:13" ht="25.5" x14ac:dyDescent="0.2">
      <c r="A24" s="232" t="str">
        <f>'Biểu 01'!A24</f>
        <v>e</v>
      </c>
      <c r="B24" s="246" t="str">
        <f>'Biểu 01'!B24</f>
        <v>Xây dựng báo cáo kế hoạch điều tra thực địa</v>
      </c>
      <c r="C24" s="232" t="str">
        <f>'Biểu 01'!N24</f>
        <v>Nhóm 2 (2KS3)</v>
      </c>
      <c r="D24" s="247">
        <f>'Biểu 01'!O24</f>
        <v>70</v>
      </c>
      <c r="E24" s="240"/>
      <c r="F24" s="248">
        <f>'Biểu 01'!Q24</f>
        <v>666900</v>
      </c>
      <c r="G24" s="241"/>
      <c r="H24" s="247">
        <f>'Biểu 01'!S24</f>
        <v>0.93735480000000004</v>
      </c>
      <c r="I24" s="247">
        <f>'Biểu 01'!T24</f>
        <v>1.0138088814763606</v>
      </c>
      <c r="J24" s="247">
        <f>'Biểu 01'!U24</f>
        <v>1.05</v>
      </c>
      <c r="K24" s="250">
        <f>'Biểu 01'!W24</f>
        <v>46580930.06674628</v>
      </c>
      <c r="L24" s="247"/>
      <c r="M24" s="250">
        <f t="shared" si="0"/>
        <v>46580930.06674628</v>
      </c>
    </row>
    <row r="25" spans="1:13" ht="40.5" x14ac:dyDescent="0.2">
      <c r="A25" s="242" t="str">
        <f>'Biểu 01'!A25</f>
        <v>2.2</v>
      </c>
      <c r="B25" s="243" t="str">
        <f>'Biểu 01'!B25</f>
        <v>Điều tra, lấy mẫu đất tại thực địa và điều tra nông hộ</v>
      </c>
      <c r="C25" s="242"/>
      <c r="D25" s="240"/>
      <c r="E25" s="240"/>
      <c r="F25" s="241"/>
      <c r="G25" s="241"/>
      <c r="H25" s="241"/>
      <c r="I25" s="241"/>
      <c r="J25" s="241"/>
      <c r="K25" s="245">
        <f>'Biểu 01'!W25</f>
        <v>130426604.18688959</v>
      </c>
      <c r="L25" s="245">
        <f>'Biểu 01'!X25</f>
        <v>1308057245.6564283</v>
      </c>
      <c r="M25" s="245">
        <f t="shared" si="0"/>
        <v>1438483849.843318</v>
      </c>
    </row>
    <row r="26" spans="1:13" x14ac:dyDescent="0.2">
      <c r="A26" s="232" t="str">
        <f>'Biểu 01'!A26</f>
        <v>a</v>
      </c>
      <c r="B26" s="246" t="str">
        <f>'Biểu 01'!B26</f>
        <v xml:space="preserve">Công tác ngoại nghiệp </v>
      </c>
      <c r="C26" s="232"/>
      <c r="D26" s="240"/>
      <c r="E26" s="240"/>
      <c r="F26" s="241"/>
      <c r="G26" s="241"/>
      <c r="H26" s="241"/>
      <c r="I26" s="241"/>
      <c r="J26" s="241"/>
      <c r="K26" s="249"/>
      <c r="L26" s="250">
        <f>'Biểu 01'!X26</f>
        <v>1308057245.6564283</v>
      </c>
      <c r="M26" s="250">
        <f t="shared" si="0"/>
        <v>1308057245.6564283</v>
      </c>
    </row>
    <row r="27" spans="1:13" ht="38.25" x14ac:dyDescent="0.2">
      <c r="A27" s="232" t="str">
        <f>'Biểu 01'!A27</f>
        <v>-</v>
      </c>
      <c r="B27" s="246" t="str">
        <f>'Biểu 01'!B27</f>
        <v xml:space="preserve">Công tác ngoại nghiệp (không bao gồm điều tra phẫu diện đất) </v>
      </c>
      <c r="C27" s="232" t="str">
        <f>'Biểu 01'!N27</f>
        <v>Nhóm 3 (1KTV6, 2KS3)</v>
      </c>
      <c r="D27" s="240"/>
      <c r="E27" s="251">
        <f>'Biểu 01'!P27</f>
        <v>104</v>
      </c>
      <c r="F27" s="241"/>
      <c r="G27" s="248">
        <f>'Biểu 01'!R27</f>
        <v>984789</v>
      </c>
      <c r="H27" s="247">
        <f>'Biểu 01'!S27</f>
        <v>0.93735480000000004</v>
      </c>
      <c r="I27" s="247">
        <f>'Biểu 01'!T27</f>
        <v>1.0138088814763606</v>
      </c>
      <c r="J27" s="247">
        <f>'Biểu 01'!U27</f>
        <v>1.05</v>
      </c>
      <c r="K27" s="247"/>
      <c r="L27" s="250">
        <f>'Biểu 01'!X27</f>
        <v>102194124.28738736</v>
      </c>
      <c r="M27" s="250">
        <f t="shared" si="0"/>
        <v>102194124.28738736</v>
      </c>
    </row>
    <row r="28" spans="1:13" ht="38.25" x14ac:dyDescent="0.2">
      <c r="A28" s="232" t="str">
        <f>'Biểu 01'!A28</f>
        <v>-</v>
      </c>
      <c r="B28" s="246" t="str">
        <f>'Biểu 01'!B28</f>
        <v>Công điều tra khoanh đất</v>
      </c>
      <c r="C28" s="232" t="str">
        <f>'Biểu 01'!N28</f>
        <v>Nhóm 2 (1KTV6, 1KS3)</v>
      </c>
      <c r="D28" s="240"/>
      <c r="E28" s="247">
        <f>'Biểu 01'!P28</f>
        <v>1851.3602307999995</v>
      </c>
      <c r="F28" s="240"/>
      <c r="G28" s="250">
        <f>'Biểu 01'!R28</f>
        <v>651339</v>
      </c>
      <c r="H28" s="247">
        <f>'Biểu 01'!S28</f>
        <v>0</v>
      </c>
      <c r="I28" s="247">
        <f>'Biểu 01'!T28</f>
        <v>0</v>
      </c>
      <c r="J28" s="247">
        <f>'Biểu 01'!U28</f>
        <v>0</v>
      </c>
      <c r="K28" s="247"/>
      <c r="L28" s="250">
        <f>'Biểu 01'!X28</f>
        <v>1205863121.369041</v>
      </c>
      <c r="M28" s="250">
        <f t="shared" si="0"/>
        <v>1205863121.369041</v>
      </c>
    </row>
    <row r="29" spans="1:13" x14ac:dyDescent="0.2">
      <c r="A29" s="232" t="str">
        <f>'Biểu 01'!A29</f>
        <v>b</v>
      </c>
      <c r="B29" s="246" t="str">
        <f>'Biểu 01'!B29</f>
        <v>Công tác nội nghiệp</v>
      </c>
      <c r="C29" s="232"/>
      <c r="D29" s="240"/>
      <c r="E29" s="240"/>
      <c r="F29" s="241"/>
      <c r="G29" s="241"/>
      <c r="H29" s="241"/>
      <c r="I29" s="241"/>
      <c r="J29" s="241"/>
      <c r="K29" s="250">
        <f>'Biểu 01'!W29</f>
        <v>130426604.18688959</v>
      </c>
      <c r="L29" s="247"/>
      <c r="M29" s="250">
        <f t="shared" si="0"/>
        <v>130426604.18688959</v>
      </c>
    </row>
    <row r="30" spans="1:13" ht="38.25" x14ac:dyDescent="0.2">
      <c r="A30" s="232" t="str">
        <f>'Biểu 01'!A30</f>
        <v>-</v>
      </c>
      <c r="B30" s="246" t="str">
        <f>'Biểu 01'!B30</f>
        <v>Thống kê số lượng, đặc điểm khoanh đất điều tra thực địa</v>
      </c>
      <c r="C30" s="232" t="str">
        <f>'Biểu 01'!N30</f>
        <v>Nhóm 2 (1KS2, 1KS4)</v>
      </c>
      <c r="D30" s="247">
        <f>'Biểu 01'!O30</f>
        <v>36</v>
      </c>
      <c r="E30" s="240"/>
      <c r="F30" s="248">
        <f>'Biểu 01'!Q30</f>
        <v>666900</v>
      </c>
      <c r="G30" s="241"/>
      <c r="H30" s="247">
        <f>'Biểu 01'!S30</f>
        <v>0.93735480000000004</v>
      </c>
      <c r="I30" s="247">
        <f>'Biểu 01'!T30</f>
        <v>1.0138088814763606</v>
      </c>
      <c r="J30" s="247">
        <f>'Biểu 01'!U30</f>
        <v>1.05</v>
      </c>
      <c r="K30" s="250">
        <f>'Biểu 01'!W30</f>
        <v>23955906.891469516</v>
      </c>
      <c r="L30" s="247"/>
      <c r="M30" s="250">
        <f t="shared" si="0"/>
        <v>23955906.891469516</v>
      </c>
    </row>
    <row r="31" spans="1:13" ht="76.5" x14ac:dyDescent="0.2">
      <c r="A31" s="232" t="str">
        <f>'Biểu 01'!A31</f>
        <v>-</v>
      </c>
      <c r="B31" s="246" t="str">
        <f>'Biểu 01'!B31</f>
        <v>Sao lưu mạng lưới điểm đào phẫu diện, ranh giới khoanh đất theo kết quả điều tra thực địa lên bản đồ chấm điểm điều tra</v>
      </c>
      <c r="C31" s="232" t="str">
        <f>'Biểu 01'!N31</f>
        <v>Nhóm 2 (2KS3)</v>
      </c>
      <c r="D31" s="247">
        <f>'Biểu 01'!O31</f>
        <v>60</v>
      </c>
      <c r="E31" s="240"/>
      <c r="F31" s="248">
        <f>'Biểu 01'!Q31</f>
        <v>666900</v>
      </c>
      <c r="G31" s="241"/>
      <c r="H31" s="247">
        <f>'Biểu 01'!S31</f>
        <v>0.93735480000000004</v>
      </c>
      <c r="I31" s="247">
        <f>'Biểu 01'!T31</f>
        <v>1.0138088814763606</v>
      </c>
      <c r="J31" s="247">
        <f>'Biểu 01'!U31</f>
        <v>1.05</v>
      </c>
      <c r="K31" s="250">
        <f>'Biểu 01'!W31</f>
        <v>39926511.485782526</v>
      </c>
      <c r="L31" s="247"/>
      <c r="M31" s="250">
        <f t="shared" si="0"/>
        <v>39926511.485782526</v>
      </c>
    </row>
    <row r="32" spans="1:13" ht="38.25" x14ac:dyDescent="0.2">
      <c r="A32" s="232" t="str">
        <f>'Biểu 01'!A32</f>
        <v>-</v>
      </c>
      <c r="B32" s="246" t="str">
        <f>'Biểu 01'!B32</f>
        <v>Xây dựng báo cáo kết quả điều tra ngoại nghiệp</v>
      </c>
      <c r="C32" s="232" t="str">
        <f>'Biểu 01'!N32</f>
        <v>Nhóm 2 (2KS3)</v>
      </c>
      <c r="D32" s="247">
        <f>'Biểu 01'!O32</f>
        <v>100</v>
      </c>
      <c r="E32" s="240"/>
      <c r="F32" s="248">
        <f>'Biểu 01'!Q32</f>
        <v>666900</v>
      </c>
      <c r="G32" s="241"/>
      <c r="H32" s="247">
        <f>'Biểu 01'!S32</f>
        <v>0.93735480000000004</v>
      </c>
      <c r="I32" s="247">
        <f>'Biểu 01'!T32</f>
        <v>1.0138088814763606</v>
      </c>
      <c r="J32" s="247">
        <f>'Biểu 01'!U32</f>
        <v>1.05</v>
      </c>
      <c r="K32" s="250">
        <f>'Biểu 01'!W32</f>
        <v>66544185.809637539</v>
      </c>
      <c r="L32" s="247"/>
      <c r="M32" s="250">
        <f t="shared" si="0"/>
        <v>66544185.809637539</v>
      </c>
    </row>
    <row r="33" spans="1:13" ht="38.25" x14ac:dyDescent="0.2">
      <c r="A33" s="233">
        <f>'Biểu 01'!A33</f>
        <v>3</v>
      </c>
      <c r="B33" s="239" t="str">
        <f>'Biểu 01'!B33</f>
        <v>Tổng hợp, xử lý thông tin nội nghiệp và ngoại nghiệp</v>
      </c>
      <c r="C33" s="232"/>
      <c r="D33" s="240"/>
      <c r="E33" s="240"/>
      <c r="F33" s="241"/>
      <c r="G33" s="241"/>
      <c r="H33" s="241"/>
      <c r="I33" s="241"/>
      <c r="J33" s="241"/>
      <c r="K33" s="238">
        <f>'Biểu 01'!W33</f>
        <v>652191686.45240009</v>
      </c>
      <c r="L33" s="249"/>
      <c r="M33" s="238">
        <f t="shared" si="0"/>
        <v>652191686.45240009</v>
      </c>
    </row>
    <row r="34" spans="1:13" ht="89.25" x14ac:dyDescent="0.2">
      <c r="A34" s="232" t="str">
        <f>'Biểu 01'!A34</f>
        <v>-</v>
      </c>
      <c r="B34" s="246" t="str">
        <f>'Biểu 01'!B34</f>
        <v>Tổng hợp thông tin, lựa chọn các yếu tố và chỉ tiêu phân cấp từng yếu tố dùng trong tạo lập các bản đồ chuyên đề dạng giấy đã thu thập được</v>
      </c>
      <c r="C34" s="232" t="str">
        <f>'Biểu 01'!N34</f>
        <v>Nhóm 2 (1KS2, 1KS4)</v>
      </c>
      <c r="D34" s="247">
        <f>'Biểu 01'!O34</f>
        <v>31</v>
      </c>
      <c r="E34" s="240"/>
      <c r="F34" s="248">
        <f>'Biểu 01'!Q34</f>
        <v>666900</v>
      </c>
      <c r="G34" s="241"/>
      <c r="H34" s="247">
        <f>'Biểu 01'!S34</f>
        <v>0.93735480000000004</v>
      </c>
      <c r="I34" s="247">
        <f>'Biểu 01'!T34</f>
        <v>1.0138088814763606</v>
      </c>
      <c r="J34" s="247">
        <f>'Biểu 01'!U34</f>
        <v>1.05</v>
      </c>
      <c r="K34" s="250">
        <f>'Biểu 01'!W34</f>
        <v>20628697.600987639</v>
      </c>
      <c r="L34" s="247"/>
      <c r="M34" s="250">
        <f t="shared" si="0"/>
        <v>20628697.600987639</v>
      </c>
    </row>
    <row r="35" spans="1:13" ht="38.25" x14ac:dyDescent="0.2">
      <c r="A35" s="232" t="str">
        <f>'Biểu 01'!A35</f>
        <v>-</v>
      </c>
      <c r="B35" s="246" t="str">
        <f>'Biểu 01'!B35</f>
        <v>Chuẩn bị các bản đồ  kết quả sản phẩm</v>
      </c>
      <c r="C35" s="232" t="str">
        <f>'Biểu 01'!N35</f>
        <v>Nhóm 2 (1KTV6, 1KS3)</v>
      </c>
      <c r="D35" s="247">
        <f>'Biểu 01'!O35</f>
        <v>143</v>
      </c>
      <c r="E35" s="240"/>
      <c r="F35" s="248">
        <f>'Biểu 01'!Q35</f>
        <v>651339</v>
      </c>
      <c r="G35" s="241"/>
      <c r="H35" s="247">
        <f>'Biểu 01'!S35</f>
        <v>0.93735480000000004</v>
      </c>
      <c r="I35" s="247">
        <f>'Biểu 01'!T35</f>
        <v>1.0138088814763606</v>
      </c>
      <c r="J35" s="247">
        <f>'Biểu 01'!U35</f>
        <v>1.05</v>
      </c>
      <c r="K35" s="250">
        <f>'Biểu 01'!W35</f>
        <v>92937828.041266784</v>
      </c>
      <c r="L35" s="247"/>
      <c r="M35" s="250">
        <f t="shared" si="0"/>
        <v>92937828.041266784</v>
      </c>
    </row>
    <row r="36" spans="1:13" ht="89.25" x14ac:dyDescent="0.2">
      <c r="A36" s="232" t="str">
        <f>'Biểu 01'!A36</f>
        <v>-</v>
      </c>
      <c r="B36" s="246" t="str">
        <f>'Biểu 01'!B36</f>
        <v>Thiết kế các trường thông tin lưu trữ dữ liệu thuộc tính trong mỗi lớp thông tin theo định dạng tương ứng với phân cấp bản đồ chuyên đề</v>
      </c>
      <c r="C36" s="232" t="str">
        <f>'Biểu 01'!N36</f>
        <v>Nhóm 2 (2KS3)</v>
      </c>
      <c r="D36" s="247">
        <f>'Biểu 01'!O36</f>
        <v>68</v>
      </c>
      <c r="E36" s="240"/>
      <c r="F36" s="248">
        <f>'Biểu 01'!Q36</f>
        <v>666900</v>
      </c>
      <c r="G36" s="241"/>
      <c r="H36" s="247">
        <f>'Biểu 01'!S36</f>
        <v>0.93735480000000004</v>
      </c>
      <c r="I36" s="247">
        <f>'Biểu 01'!T36</f>
        <v>1.0138088814763606</v>
      </c>
      <c r="J36" s="247">
        <f>'Biểu 01'!U36</f>
        <v>1.05</v>
      </c>
      <c r="K36" s="250">
        <f>'Biểu 01'!W36</f>
        <v>45250046.350553535</v>
      </c>
      <c r="L36" s="247"/>
      <c r="M36" s="250">
        <f t="shared" si="0"/>
        <v>45250046.350553535</v>
      </c>
    </row>
    <row r="37" spans="1:13" ht="38.25" x14ac:dyDescent="0.2">
      <c r="A37" s="232" t="str">
        <f>'Biểu 01'!A37</f>
        <v>-</v>
      </c>
      <c r="B37" s="246" t="str">
        <f>'Biểu 01'!B37</f>
        <v xml:space="preserve">Tổng hợp bảng biểu số liệu phục vụ xây dựng bản đồ </v>
      </c>
      <c r="C37" s="232" t="str">
        <f>'Biểu 01'!N37</f>
        <v>Nhóm 2 (1KTV6, 1KS3)</v>
      </c>
      <c r="D37" s="247">
        <f>'Biểu 01'!O37</f>
        <v>332</v>
      </c>
      <c r="E37" s="240"/>
      <c r="F37" s="248">
        <f>'Biểu 01'!Q37</f>
        <v>651339</v>
      </c>
      <c r="G37" s="241"/>
      <c r="H37" s="247">
        <f>'Biểu 01'!S37</f>
        <v>0.93735480000000004</v>
      </c>
      <c r="I37" s="247">
        <f>'Biểu 01'!T37</f>
        <v>1.0138088814763606</v>
      </c>
      <c r="J37" s="247">
        <f>'Biểu 01'!U37</f>
        <v>1.05</v>
      </c>
      <c r="K37" s="250">
        <f>'Biểu 01'!W37</f>
        <v>215771740.62727672</v>
      </c>
      <c r="L37" s="247"/>
      <c r="M37" s="250">
        <f t="shared" si="0"/>
        <v>215771740.62727672</v>
      </c>
    </row>
    <row r="38" spans="1:13" ht="38.25" x14ac:dyDescent="0.2">
      <c r="A38" s="232" t="str">
        <f>'Biểu 01'!A38</f>
        <v>-</v>
      </c>
      <c r="B38" s="246" t="str">
        <f>'Biểu 01'!B38</f>
        <v xml:space="preserve">Tổng hợp, xử lý kết quả điều tra khoanh đất </v>
      </c>
      <c r="C38" s="232" t="str">
        <f>'Biểu 01'!N38</f>
        <v>Nhóm 4 (2KTV6, 2KS3)</v>
      </c>
      <c r="D38" s="247">
        <f>'Biểu 01'!O38</f>
        <v>182</v>
      </c>
      <c r="E38" s="240"/>
      <c r="F38" s="248">
        <f>'Biểu 01'!Q38</f>
        <v>1302678</v>
      </c>
      <c r="G38" s="241"/>
      <c r="H38" s="247">
        <f>'Biểu 01'!S38</f>
        <v>0.93735480000000004</v>
      </c>
      <c r="I38" s="247">
        <f>'Biểu 01'!T38</f>
        <v>1.0138088814763606</v>
      </c>
      <c r="J38" s="247">
        <f>'Biểu 01'!U38</f>
        <v>1.05</v>
      </c>
      <c r="K38" s="250">
        <f>'Biểu 01'!W38</f>
        <v>236569016.83231542</v>
      </c>
      <c r="L38" s="247"/>
      <c r="M38" s="250">
        <f t="shared" si="0"/>
        <v>236569016.83231542</v>
      </c>
    </row>
    <row r="39" spans="1:13" ht="38.25" x14ac:dyDescent="0.2">
      <c r="A39" s="232" t="str">
        <f>'Biểu 01'!A39</f>
        <v>-</v>
      </c>
      <c r="B39" s="246" t="str">
        <f>'Biểu 01'!B39</f>
        <v>Xây dựng báo cáo kết quả tổng hợp, xử lý thông tin</v>
      </c>
      <c r="C39" s="232" t="str">
        <f>'Biểu 01'!N39</f>
        <v>Nhóm 2 (1KTV6, 1KS3)</v>
      </c>
      <c r="D39" s="247">
        <f>'Biểu 01'!O39</f>
        <v>63</v>
      </c>
      <c r="E39" s="240"/>
      <c r="F39" s="248">
        <f>'Biểu 01'!Q39</f>
        <v>651339</v>
      </c>
      <c r="G39" s="241"/>
      <c r="H39" s="247">
        <f>'Biểu 01'!S39</f>
        <v>0.93735480000000004</v>
      </c>
      <c r="I39" s="247">
        <f>'Biểu 01'!T39</f>
        <v>1.0138088814763606</v>
      </c>
      <c r="J39" s="247">
        <f>'Biểu 01'!U39</f>
        <v>1.05</v>
      </c>
      <c r="K39" s="250">
        <f>'Biểu 01'!W39</f>
        <v>41034357</v>
      </c>
      <c r="L39" s="247"/>
      <c r="M39" s="250">
        <f t="shared" si="0"/>
        <v>41034357</v>
      </c>
    </row>
    <row r="40" spans="1:13" ht="63.75" x14ac:dyDescent="0.2">
      <c r="A40" s="233">
        <f>'Biểu 01'!A40</f>
        <v>4</v>
      </c>
      <c r="B40" s="239" t="str">
        <f>'Biểu 01'!B40</f>
        <v>Xây dựng bản đồ nông hóa cho 16 huyện, thị xã, thành phố và tách thành bản đồ nông hóa cấp huyện và cấp xã</v>
      </c>
      <c r="C40" s="232"/>
      <c r="D40" s="240"/>
      <c r="E40" s="240"/>
      <c r="F40" s="241"/>
      <c r="G40" s="241"/>
      <c r="H40" s="241"/>
      <c r="I40" s="241"/>
      <c r="J40" s="241"/>
      <c r="K40" s="238">
        <f>'Biểu 01'!W40</f>
        <v>1699830733.7504709</v>
      </c>
      <c r="L40" s="249"/>
      <c r="M40" s="238">
        <f t="shared" si="0"/>
        <v>1699830733.7504709</v>
      </c>
    </row>
    <row r="41" spans="1:13" ht="54" x14ac:dyDescent="0.2">
      <c r="A41" s="242" t="str">
        <f>'Biểu 01'!A41</f>
        <v>4.1</v>
      </c>
      <c r="B41" s="243" t="str">
        <f>'Biểu 01'!B41</f>
        <v>Xây dựng bản đồ nông hóa cho 16 huyện trên địa bàn tỉnh Thanh Hóa</v>
      </c>
      <c r="C41" s="242"/>
      <c r="D41" s="240"/>
      <c r="E41" s="240"/>
      <c r="F41" s="241"/>
      <c r="G41" s="241"/>
      <c r="H41" s="241"/>
      <c r="I41" s="241"/>
      <c r="J41" s="241"/>
      <c r="K41" s="245">
        <f>'Biểu 01'!W41</f>
        <v>784777764.64832556</v>
      </c>
      <c r="L41" s="244"/>
      <c r="M41" s="245">
        <f t="shared" si="0"/>
        <v>784777764.64832556</v>
      </c>
    </row>
    <row r="42" spans="1:13" ht="38.25" x14ac:dyDescent="0.2">
      <c r="A42" s="232" t="str">
        <f>'Biểu 01'!A42</f>
        <v>-</v>
      </c>
      <c r="B42" s="246" t="str">
        <f>'Biểu 01'!B42</f>
        <v xml:space="preserve">Xác định và phân cấp bộ chỉ tiêu đánh giá chất lượng đất </v>
      </c>
      <c r="C42" s="232" t="str">
        <f>'Biểu 01'!N42</f>
        <v>Nhóm 2 (1KTV6, 1KS3)</v>
      </c>
      <c r="D42" s="247">
        <f>'Biểu 01'!O42</f>
        <v>4</v>
      </c>
      <c r="E42" s="240"/>
      <c r="F42" s="248">
        <f>'Biểu 01'!Q42</f>
        <v>651339</v>
      </c>
      <c r="G42" s="241"/>
      <c r="H42" s="247">
        <f>'Biểu 01'!S42</f>
        <v>0.93735480000000004</v>
      </c>
      <c r="I42" s="247">
        <f>'Biểu 01'!T42</f>
        <v>1.0138088814763606</v>
      </c>
      <c r="J42" s="247">
        <f>'Biểu 01'!U42</f>
        <v>1.05</v>
      </c>
      <c r="K42" s="250">
        <f>'Biểu 01'!W42</f>
        <v>2599659.5256298399</v>
      </c>
      <c r="L42" s="247"/>
      <c r="M42" s="250">
        <f t="shared" si="0"/>
        <v>2599659.5256298399</v>
      </c>
    </row>
    <row r="43" spans="1:13" ht="51" x14ac:dyDescent="0.2">
      <c r="A43" s="232" t="str">
        <f>'Biểu 01'!A43</f>
        <v>-</v>
      </c>
      <c r="B43" s="246" t="str">
        <f>'Biểu 01'!B43</f>
        <v>Nhập thông tin thuộc tính đến từng khoanh đất theo các lớp thông tin đã thiết kế</v>
      </c>
      <c r="C43" s="232" t="str">
        <f>'Biểu 01'!N43</f>
        <v>Nhóm 3 (1KTV6, 2KS3)</v>
      </c>
      <c r="D43" s="250">
        <f>'Biểu 01'!O43</f>
        <v>120</v>
      </c>
      <c r="E43" s="240"/>
      <c r="F43" s="248">
        <f>'Biểu 01'!Q43</f>
        <v>984789</v>
      </c>
      <c r="G43" s="241"/>
      <c r="H43" s="247">
        <f>'Biểu 01'!S43</f>
        <v>0.93735480000000004</v>
      </c>
      <c r="I43" s="247">
        <f>'Biểu 01'!T43</f>
        <v>1.0138088814763606</v>
      </c>
      <c r="J43" s="247">
        <f>'Biểu 01'!U43</f>
        <v>1.05</v>
      </c>
      <c r="K43" s="250">
        <f>'Biểu 01'!W43</f>
        <v>117916297.25467773</v>
      </c>
      <c r="L43" s="247"/>
      <c r="M43" s="250">
        <f t="shared" si="0"/>
        <v>117916297.25467773</v>
      </c>
    </row>
    <row r="44" spans="1:13" ht="38.25" x14ac:dyDescent="0.2">
      <c r="A44" s="232" t="str">
        <f>'Biểu 01'!A44</f>
        <v>-</v>
      </c>
      <c r="B44" s="246" t="str">
        <f>'Biểu 01'!B44</f>
        <v xml:space="preserve">Phân cấp thông tin theo các nhóm chỉ tiêu đến từng khoanh đất </v>
      </c>
      <c r="C44" s="232" t="str">
        <f>'Biểu 01'!N44</f>
        <v>Nhóm 3 (1KTV6, 2KS3)</v>
      </c>
      <c r="D44" s="247">
        <f>'Biểu 01'!O44</f>
        <v>70</v>
      </c>
      <c r="E44" s="240"/>
      <c r="F44" s="248">
        <f>'Biểu 01'!Q44</f>
        <v>984789</v>
      </c>
      <c r="G44" s="241"/>
      <c r="H44" s="247">
        <f>'Biểu 01'!S44</f>
        <v>0.93735480000000004</v>
      </c>
      <c r="I44" s="247">
        <f>'Biểu 01'!T44</f>
        <v>1.0138088814763606</v>
      </c>
      <c r="J44" s="247">
        <f>'Biểu 01'!U44</f>
        <v>1.05</v>
      </c>
      <c r="K44" s="250">
        <f>'Biểu 01'!W44</f>
        <v>68784506.731895342</v>
      </c>
      <c r="L44" s="247"/>
      <c r="M44" s="250">
        <f t="shared" si="0"/>
        <v>68784506.731895342</v>
      </c>
    </row>
    <row r="45" spans="1:13" ht="76.5" x14ac:dyDescent="0.2">
      <c r="A45" s="232" t="str">
        <f>'Biểu 01'!A45</f>
        <v>-</v>
      </c>
      <c r="B45" s="246" t="str">
        <f>'Biểu 01'!B45</f>
        <v xml:space="preserve">Thành lập các lớp thông tin chuyên đề về đất, địa hình, khí hậu, chế độ nước, độ phì nhiêu của đất, tình hình sử dụng đất </v>
      </c>
      <c r="C45" s="232" t="str">
        <f>'Biểu 01'!N45</f>
        <v>Nhóm 3 (1KTV6, 2KS3)</v>
      </c>
      <c r="D45" s="250">
        <f>'Biểu 01'!O45</f>
        <v>320</v>
      </c>
      <c r="E45" s="240"/>
      <c r="F45" s="248">
        <f>'Biểu 01'!Q45</f>
        <v>984789</v>
      </c>
      <c r="G45" s="241"/>
      <c r="H45" s="247">
        <f>'Biểu 01'!S45</f>
        <v>0.93735480000000004</v>
      </c>
      <c r="I45" s="247">
        <f>'Biểu 01'!T45</f>
        <v>1.0138088814763606</v>
      </c>
      <c r="J45" s="247">
        <f>'Biểu 01'!U45</f>
        <v>1.05</v>
      </c>
      <c r="K45" s="250">
        <f>'Biểu 01'!W45</f>
        <v>314443459.34580731</v>
      </c>
      <c r="L45" s="247"/>
      <c r="M45" s="250">
        <f t="shared" si="0"/>
        <v>314443459.34580731</v>
      </c>
    </row>
    <row r="46" spans="1:13" ht="76.5" x14ac:dyDescent="0.2">
      <c r="A46" s="232" t="str">
        <f>'Biểu 01'!A46</f>
        <v>-</v>
      </c>
      <c r="B46" s="246" t="str">
        <f>'Biểu 01'!B46</f>
        <v>Chồng xếp các lớp thông tin chuyên đề về đất, độ dốc, khí hậu, chế độ nước, độ phì nhiêu của đất để xây dựng bản đồ</v>
      </c>
      <c r="C46" s="232" t="str">
        <f>'Biểu 01'!N46</f>
        <v>Nhóm 3 (1KTV6, 2KS3)</v>
      </c>
      <c r="D46" s="250">
        <f>'Biểu 01'!O46</f>
        <v>120</v>
      </c>
      <c r="E46" s="240"/>
      <c r="F46" s="248">
        <f>'Biểu 01'!Q46</f>
        <v>984789</v>
      </c>
      <c r="G46" s="241"/>
      <c r="H46" s="247">
        <f>'Biểu 01'!S46</f>
        <v>0.93735480000000004</v>
      </c>
      <c r="I46" s="247">
        <f>'Biểu 01'!T46</f>
        <v>1.0138088814763606</v>
      </c>
      <c r="J46" s="247">
        <f>'Biểu 01'!U46</f>
        <v>1.05</v>
      </c>
      <c r="K46" s="250">
        <f>'Biểu 01'!W46</f>
        <v>117916297.25467773</v>
      </c>
      <c r="L46" s="247"/>
      <c r="M46" s="250">
        <f t="shared" si="0"/>
        <v>117916297.25467773</v>
      </c>
    </row>
    <row r="47" spans="1:13" ht="38.25" x14ac:dyDescent="0.2">
      <c r="A47" s="232" t="str">
        <f>'Biểu 01'!A48</f>
        <v>-</v>
      </c>
      <c r="B47" s="246" t="str">
        <f>'Biểu 01'!B48</f>
        <v xml:space="preserve">Xây dựng hệ thống chú dẫn và biên tập bản đồ nông hóa </v>
      </c>
      <c r="C47" s="232" t="str">
        <f>'Biểu 01'!N48</f>
        <v>Nhóm 3 (1KTV6, 2KS3)</v>
      </c>
      <c r="D47" s="247">
        <f>'Biểu 01'!O48</f>
        <v>12</v>
      </c>
      <c r="E47" s="240"/>
      <c r="F47" s="248">
        <f>'Biểu 01'!Q48</f>
        <v>984789</v>
      </c>
      <c r="G47" s="241"/>
      <c r="H47" s="247">
        <f>'Biểu 01'!S48</f>
        <v>0.93735480000000004</v>
      </c>
      <c r="I47" s="247">
        <f>'Biểu 01'!T48</f>
        <v>1.0138088814763606</v>
      </c>
      <c r="J47" s="247">
        <f>'Biểu 01'!U48</f>
        <v>1.05</v>
      </c>
      <c r="K47" s="250">
        <f>'Biểu 01'!W48</f>
        <v>11791629.725467773</v>
      </c>
      <c r="L47" s="247"/>
      <c r="M47" s="250">
        <f t="shared" si="0"/>
        <v>11791629.725467773</v>
      </c>
    </row>
    <row r="48" spans="1:13" ht="38.25" x14ac:dyDescent="0.2">
      <c r="A48" s="232" t="str">
        <f>'Biểu 01'!A49</f>
        <v>-</v>
      </c>
      <c r="B48" s="246" t="str">
        <f>'Biểu 01'!B49</f>
        <v>In bản đồ và xây dựng báo cáo thuyết minh bản đồ nông hóa</v>
      </c>
      <c r="C48" s="232" t="str">
        <f>'Biểu 01'!N49</f>
        <v>Nhóm 3 (1KTV6, 2KS3)</v>
      </c>
      <c r="D48" s="247">
        <f>'Biểu 01'!O49</f>
        <v>0</v>
      </c>
      <c r="E48" s="240"/>
      <c r="F48" s="248">
        <f>'Biểu 01'!Q49</f>
        <v>984789</v>
      </c>
      <c r="G48" s="241"/>
      <c r="H48" s="252">
        <f>'Biểu 01'!S49</f>
        <v>0.93735480000000004</v>
      </c>
      <c r="I48" s="252">
        <f>'Biểu 01'!T49</f>
        <v>1.0138088814763606</v>
      </c>
      <c r="J48" s="252">
        <f>'Biểu 01'!U49</f>
        <v>1.05</v>
      </c>
      <c r="K48" s="250">
        <f>'Biểu 01'!W49</f>
        <v>0</v>
      </c>
      <c r="L48" s="247"/>
      <c r="M48" s="250">
        <f t="shared" si="0"/>
        <v>0</v>
      </c>
    </row>
    <row r="49" spans="1:13" ht="94.5" x14ac:dyDescent="0.2">
      <c r="A49" s="242" t="str">
        <f>'Biểu 01'!A50</f>
        <v>4.2</v>
      </c>
      <c r="B49" s="243" t="str">
        <f>'Biểu 01'!B50</f>
        <v>Tách bản đồ Nông hóa toàn vùng thành bản đồ nông hóa cấp huyện để xây dựng chú dẫn và biên tập bản đồ cấp huyện tỷ lệ 1:25.000</v>
      </c>
      <c r="C49" s="242"/>
      <c r="D49" s="240"/>
      <c r="E49" s="240"/>
      <c r="F49" s="241"/>
      <c r="G49" s="241"/>
      <c r="H49" s="241"/>
      <c r="I49" s="241"/>
      <c r="J49" s="241"/>
      <c r="K49" s="245">
        <f>'Biểu 01'!W50</f>
        <v>94599244.102145359</v>
      </c>
      <c r="L49" s="244"/>
      <c r="M49" s="245">
        <f>SUM(K49:L49)</f>
        <v>94599244.102145359</v>
      </c>
    </row>
    <row r="50" spans="1:13" ht="51" x14ac:dyDescent="0.2">
      <c r="A50" s="232" t="str">
        <f>'Biểu 01'!A51</f>
        <v>-</v>
      </c>
      <c r="B50" s="246" t="str">
        <f>'Biểu 01'!B51</f>
        <v>Xây dựng hệ thống chú dẫn và biên tập bản đồ nông hóa cấp huyện (17 huyện) 50%</v>
      </c>
      <c r="C50" s="232"/>
      <c r="D50" s="240"/>
      <c r="E50" s="240"/>
      <c r="F50" s="241"/>
      <c r="G50" s="241"/>
      <c r="H50" s="241"/>
      <c r="I50" s="241"/>
      <c r="J50" s="241"/>
      <c r="K50" s="250">
        <f>'Biểu 01'!W51</f>
        <v>0</v>
      </c>
      <c r="L50" s="247"/>
      <c r="M50" s="250">
        <f>SUM(K50:L50)</f>
        <v>0</v>
      </c>
    </row>
    <row r="51" spans="1:13" ht="51" x14ac:dyDescent="0.2">
      <c r="A51" s="232" t="str">
        <f>'Biểu 01'!A52</f>
        <v>-</v>
      </c>
      <c r="B51" s="246" t="str">
        <f>'Biểu 01'!B52</f>
        <v>In bản đồ và xây dựng báo cáo thuyết minh bản đồ nông hóa cấp huyện</v>
      </c>
      <c r="C51" s="232"/>
      <c r="D51" s="240"/>
      <c r="E51" s="240"/>
      <c r="F51" s="241"/>
      <c r="G51" s="241"/>
      <c r="H51" s="241"/>
      <c r="I51" s="241"/>
      <c r="J51" s="241"/>
      <c r="K51" s="250">
        <f>'Biểu 01'!W52</f>
        <v>94599244.102145359</v>
      </c>
      <c r="L51" s="247"/>
      <c r="M51" s="250">
        <f>SUM(K51:L51)</f>
        <v>94599244.102145359</v>
      </c>
    </row>
    <row r="52" spans="1:13" ht="94.5" x14ac:dyDescent="0.2">
      <c r="A52" s="242" t="str">
        <f>'Biểu 01'!A53</f>
        <v>4.3</v>
      </c>
      <c r="B52" s="243" t="str">
        <f>'Biểu 01'!B53</f>
        <v>Tách bản đồ Nông hóa cấp huyện thành bản đồ nông hóa cấp xã để xây dựng chú dẫn và biên tập bản đồ cấp xã tỷ lệ 1:5.000-1/10.000</v>
      </c>
      <c r="C52" s="242"/>
      <c r="D52" s="240"/>
      <c r="E52" s="240"/>
      <c r="F52" s="241"/>
      <c r="G52" s="241"/>
      <c r="H52" s="241"/>
      <c r="I52" s="241"/>
      <c r="J52" s="241"/>
      <c r="K52" s="245">
        <f>'Biểu 01'!W53</f>
        <v>820453725</v>
      </c>
      <c r="L52" s="244"/>
      <c r="M52" s="245">
        <f t="shared" si="0"/>
        <v>820453725</v>
      </c>
    </row>
    <row r="53" spans="1:13" ht="51" x14ac:dyDescent="0.2">
      <c r="A53" s="232" t="str">
        <f>'Biểu 01'!A54</f>
        <v>-</v>
      </c>
      <c r="B53" s="246" t="str">
        <f>'Biểu 01'!B54</f>
        <v>Xây dựng hệ thống chú dẫn và biên tập bản đồ nông hóa cấp huyện (17 huyện)</v>
      </c>
      <c r="C53" s="232"/>
      <c r="D53" s="240"/>
      <c r="E53" s="240"/>
      <c r="F53" s="241"/>
      <c r="G53" s="241"/>
      <c r="H53" s="241"/>
      <c r="I53" s="241"/>
      <c r="J53" s="241"/>
      <c r="K53" s="250">
        <f>'Biểu 01'!W54</f>
        <v>0</v>
      </c>
      <c r="L53" s="247"/>
      <c r="M53" s="250">
        <f>SUM(K53:L53)</f>
        <v>0</v>
      </c>
    </row>
    <row r="54" spans="1:13" ht="38.25" x14ac:dyDescent="0.2">
      <c r="A54" s="232" t="str">
        <f>'Biểu 01'!A55</f>
        <v>-</v>
      </c>
      <c r="B54" s="246" t="str">
        <f>'Biểu 01'!B55</f>
        <v>In bản đồ và xây dựng báo cáo thuyết minh bản đồ nông hóa cấp xã</v>
      </c>
      <c r="C54" s="232"/>
      <c r="D54" s="247"/>
      <c r="E54" s="240"/>
      <c r="F54" s="248"/>
      <c r="G54" s="241"/>
      <c r="H54" s="247"/>
      <c r="I54" s="247"/>
      <c r="J54" s="247"/>
      <c r="K54" s="250">
        <f>'Biểu 01'!W55</f>
        <v>820453725</v>
      </c>
      <c r="L54" s="247"/>
      <c r="M54" s="250">
        <f>SUM(K54:L54)</f>
        <v>820453725</v>
      </c>
    </row>
    <row r="55" spans="1:13" ht="89.25" x14ac:dyDescent="0.2">
      <c r="A55" s="233">
        <f>'Biểu 01'!A56</f>
        <v>5</v>
      </c>
      <c r="B55" s="239" t="str">
        <f>'Biểu 01'!B56</f>
        <v>Đánh giá mức độ thích hợp đất đai, đề xuất phương án sử dụng đất sản xuất nông nghiệp đạt hiệu quả cao cho 16 huyện, thị xã, thành phố</v>
      </c>
      <c r="C55" s="232"/>
      <c r="D55" s="240"/>
      <c r="E55" s="240"/>
      <c r="F55" s="241"/>
      <c r="G55" s="241"/>
      <c r="H55" s="241"/>
      <c r="I55" s="241"/>
      <c r="J55" s="241"/>
      <c r="K55" s="238">
        <f>'Biểu 01'!W56</f>
        <v>1610253878.1555467</v>
      </c>
      <c r="L55" s="249"/>
      <c r="M55" s="238">
        <f t="shared" si="0"/>
        <v>1610253878.1555467</v>
      </c>
    </row>
    <row r="56" spans="1:13" ht="40.5" x14ac:dyDescent="0.2">
      <c r="A56" s="242" t="str">
        <f>'Biểu 01'!A57</f>
        <v>5.1</v>
      </c>
      <c r="B56" s="243" t="str">
        <f>'Biểu 01'!B57</f>
        <v>Đánh giá mức độ thích hợp đất đai cho các cây trồng chính</v>
      </c>
      <c r="C56" s="232"/>
      <c r="D56" s="240"/>
      <c r="E56" s="240"/>
      <c r="F56" s="241"/>
      <c r="G56" s="241"/>
      <c r="H56" s="241"/>
      <c r="I56" s="241"/>
      <c r="J56" s="241"/>
      <c r="K56" s="245">
        <f>'Biểu 01'!W57</f>
        <v>742595405.26359606</v>
      </c>
      <c r="L56" s="244"/>
      <c r="M56" s="245">
        <f t="shared" si="0"/>
        <v>742595405.26359606</v>
      </c>
    </row>
    <row r="57" spans="1:13" ht="25.5" x14ac:dyDescent="0.2">
      <c r="A57" s="242" t="str">
        <f>'Biểu 01'!A58</f>
        <v>a</v>
      </c>
      <c r="B57" s="234" t="str">
        <f>'Biểu 01'!B58</f>
        <v>Xây dựng bản đồ đơn vị đất đai</v>
      </c>
      <c r="C57" s="232"/>
      <c r="D57" s="240"/>
      <c r="E57" s="240"/>
      <c r="F57" s="241"/>
      <c r="G57" s="241"/>
      <c r="H57" s="241"/>
      <c r="I57" s="241"/>
      <c r="J57" s="241"/>
      <c r="K57" s="238">
        <f>'Biểu 01'!W58</f>
        <v>296401112.4332875</v>
      </c>
      <c r="L57" s="249"/>
      <c r="M57" s="238">
        <f t="shared" si="0"/>
        <v>296401112.4332875</v>
      </c>
    </row>
    <row r="58" spans="1:13" ht="38.25" x14ac:dyDescent="0.2">
      <c r="A58" s="232" t="str">
        <f>'Biểu 01'!A59</f>
        <v>-</v>
      </c>
      <c r="B58" s="246" t="str">
        <f>'Biểu 01'!B59</f>
        <v>Xác định và phân cấp bộ chỉ tiêu xây dựng bản đồ đơn vị đất đai</v>
      </c>
      <c r="C58" s="232" t="str">
        <f>'Biểu 01'!N59</f>
        <v>Nhóm 3 (1KTV6, 2KS3)</v>
      </c>
      <c r="D58" s="247">
        <f>'Biểu 01'!O59</f>
        <v>10</v>
      </c>
      <c r="E58" s="240"/>
      <c r="F58" s="248">
        <f>'Biểu 01'!Q59</f>
        <v>984789</v>
      </c>
      <c r="G58" s="241"/>
      <c r="H58" s="247">
        <f>'Biểu 01'!S59</f>
        <v>0.93735480000000004</v>
      </c>
      <c r="I58" s="247">
        <f>'Biểu 01'!T59</f>
        <v>1.0138088814763606</v>
      </c>
      <c r="J58" s="247">
        <f>'Biểu 01'!U59</f>
        <v>1.05</v>
      </c>
      <c r="K58" s="250">
        <f>'Biểu 01'!W59</f>
        <v>9826358.1045564786</v>
      </c>
      <c r="L58" s="247"/>
      <c r="M58" s="250">
        <f t="shared" si="0"/>
        <v>9826358.1045564786</v>
      </c>
    </row>
    <row r="59" spans="1:13" ht="51" x14ac:dyDescent="0.2">
      <c r="A59" s="232" t="str">
        <f>'Biểu 01'!A60</f>
        <v>-</v>
      </c>
      <c r="B59" s="246" t="str">
        <f>'Biểu 01'!B60</f>
        <v>Nhập thông tin thuộc tính đến từng khoanh đất theo các lớp thông tin đã thiết kế</v>
      </c>
      <c r="C59" s="232" t="str">
        <f>'Biểu 01'!N60</f>
        <v>Nhóm 3 (1KTV6, 2KS3)</v>
      </c>
      <c r="D59" s="247">
        <f>'Biểu 01'!O60</f>
        <v>150</v>
      </c>
      <c r="E59" s="240"/>
      <c r="F59" s="248">
        <f>'Biểu 01'!Q60</f>
        <v>984789</v>
      </c>
      <c r="G59" s="241"/>
      <c r="H59" s="247">
        <f>'Biểu 01'!S60</f>
        <v>0.93735480000000004</v>
      </c>
      <c r="I59" s="247">
        <f>'Biểu 01'!T60</f>
        <v>1.0138088814763606</v>
      </c>
      <c r="J59" s="247">
        <f>'Biểu 01'!U60</f>
        <v>1.05</v>
      </c>
      <c r="K59" s="250">
        <f>'Biểu 01'!W60</f>
        <v>147395371.56834716</v>
      </c>
      <c r="L59" s="247"/>
      <c r="M59" s="250">
        <f t="shared" si="0"/>
        <v>147395371.56834716</v>
      </c>
    </row>
    <row r="60" spans="1:13" ht="63.75" x14ac:dyDescent="0.2">
      <c r="A60" s="232" t="str">
        <f>'Biểu 01'!A61</f>
        <v>-</v>
      </c>
      <c r="B60" s="246" t="str">
        <f>'Biểu 01'!B61</f>
        <v>Chồng xếp các lớp thông tin đất, địa hình, khí hậu, chế độ nước để xây dựng bản đồ đơn vị đất đai</v>
      </c>
      <c r="C60" s="232" t="str">
        <f>'Biểu 01'!N61</f>
        <v>Nhóm 3 (1KTV6, 2KS3)</v>
      </c>
      <c r="D60" s="247">
        <f>'Biểu 01'!O61</f>
        <v>60</v>
      </c>
      <c r="E60" s="240"/>
      <c r="F60" s="248">
        <f>'Biểu 01'!Q61</f>
        <v>984789</v>
      </c>
      <c r="G60" s="241"/>
      <c r="H60" s="247">
        <f>'Biểu 01'!S61</f>
        <v>0.93735480000000004</v>
      </c>
      <c r="I60" s="247">
        <f>'Biểu 01'!T61</f>
        <v>1.0138088814763606</v>
      </c>
      <c r="J60" s="247">
        <f>'Biểu 01'!U61</f>
        <v>1.05</v>
      </c>
      <c r="K60" s="250">
        <f>'Biểu 01'!W61</f>
        <v>58958148.627338864</v>
      </c>
      <c r="L60" s="247"/>
      <c r="M60" s="250">
        <f t="shared" si="0"/>
        <v>58958148.627338864</v>
      </c>
    </row>
    <row r="61" spans="1:13" ht="38.25" x14ac:dyDescent="0.2">
      <c r="A61" s="232" t="str">
        <f>'Biểu 01'!A62</f>
        <v>-</v>
      </c>
      <c r="B61" s="246" t="str">
        <f>'Biểu 01'!B62</f>
        <v xml:space="preserve">Xây dựng hệ thống chú dẫn và biên tập bản đồ đơn vị đất đai </v>
      </c>
      <c r="C61" s="232" t="str">
        <f>'Biểu 01'!N62</f>
        <v>Nhóm 3 (1KTV6, 2KS3)</v>
      </c>
      <c r="D61" s="247">
        <f>'Biểu 01'!O62</f>
        <v>20</v>
      </c>
      <c r="E61" s="240"/>
      <c r="F61" s="248">
        <f>'Biểu 01'!Q62</f>
        <v>984789</v>
      </c>
      <c r="G61" s="241"/>
      <c r="H61" s="247">
        <f>'Biểu 01'!S62</f>
        <v>0.93735480000000004</v>
      </c>
      <c r="I61" s="247">
        <f>'Biểu 01'!T62</f>
        <v>1.0138088814763606</v>
      </c>
      <c r="J61" s="247">
        <f>'Biểu 01'!U62</f>
        <v>1.05</v>
      </c>
      <c r="K61" s="250">
        <f>'Biểu 01'!W62</f>
        <v>19652716.209112957</v>
      </c>
      <c r="L61" s="247"/>
      <c r="M61" s="250">
        <f t="shared" si="0"/>
        <v>19652716.209112957</v>
      </c>
    </row>
    <row r="62" spans="1:13" ht="51" x14ac:dyDescent="0.2">
      <c r="A62" s="232" t="str">
        <f>'Biểu 01'!A63</f>
        <v>-</v>
      </c>
      <c r="B62" s="246" t="str">
        <f>'Biểu 01'!B63</f>
        <v>Tổng hợp tính chất, đặc điểm, diện tích của từng đơn vị bản đồ đất đai</v>
      </c>
      <c r="C62" s="232" t="str">
        <f>'Biểu 01'!N63</f>
        <v>Nhóm 2 (1KS3, 1KS5)</v>
      </c>
      <c r="D62" s="247">
        <f>'Biểu 01'!O63</f>
        <v>82</v>
      </c>
      <c r="E62" s="240"/>
      <c r="F62" s="248">
        <f>'Biểu 01'!Q63</f>
        <v>740259</v>
      </c>
      <c r="G62" s="241"/>
      <c r="H62" s="247">
        <f>'Biểu 01'!S63</f>
        <v>0.93735480000000004</v>
      </c>
      <c r="I62" s="247">
        <f>'Biểu 01'!T63</f>
        <v>1.0138088814763606</v>
      </c>
      <c r="J62" s="247">
        <f>'Biểu 01'!U63</f>
        <v>1.05</v>
      </c>
      <c r="K62" s="250">
        <f>'Biểu 01'!W63</f>
        <v>60568517.92393209</v>
      </c>
      <c r="L62" s="247"/>
      <c r="M62" s="250">
        <f t="shared" si="0"/>
        <v>60568517.92393209</v>
      </c>
    </row>
    <row r="63" spans="1:13" ht="38.25" x14ac:dyDescent="0.2">
      <c r="A63" s="233" t="str">
        <f>'Biểu 01'!A64</f>
        <v>b</v>
      </c>
      <c r="B63" s="234" t="str">
        <f>'Biểu 01'!B64</f>
        <v>Xác định các loại đất nông nghiệp cần đánh giá</v>
      </c>
      <c r="C63" s="232"/>
      <c r="D63" s="240"/>
      <c r="E63" s="240"/>
      <c r="F63" s="241"/>
      <c r="G63" s="241"/>
      <c r="H63" s="240"/>
      <c r="I63" s="240"/>
      <c r="J63" s="240"/>
      <c r="K63" s="238">
        <f>'Biểu 01'!W64</f>
        <v>75607503.916910172</v>
      </c>
      <c r="L63" s="249"/>
      <c r="M63" s="238">
        <f t="shared" si="0"/>
        <v>75607503.916910172</v>
      </c>
    </row>
    <row r="64" spans="1:13" ht="76.5" x14ac:dyDescent="0.2">
      <c r="A64" s="232" t="str">
        <f>'Biểu 01'!A65</f>
        <v>-</v>
      </c>
      <c r="B64" s="253" t="str">
        <f>'Biểu 01'!B65</f>
        <v>Chồng xếp bản đồ đơn vị đất đai và lớp thông tin hiện trạng sử dụng đất nông nghiệp để xác định hệ thống sử dụng đất nông nghiệp</v>
      </c>
      <c r="C64" s="232" t="str">
        <f>'Biểu 01'!N65</f>
        <v>Nhóm 3 (1KTV6, 2KS3)</v>
      </c>
      <c r="D64" s="247">
        <f>'Biểu 01'!O65</f>
        <v>20</v>
      </c>
      <c r="E64" s="240"/>
      <c r="F64" s="248">
        <f>'Biểu 01'!Q65</f>
        <v>984789</v>
      </c>
      <c r="G64" s="241"/>
      <c r="H64" s="247">
        <f>'Biểu 01'!S65</f>
        <v>0.93735480000000004</v>
      </c>
      <c r="I64" s="247">
        <f>'Biểu 01'!T65</f>
        <v>1.0138088814763606</v>
      </c>
      <c r="J64" s="247">
        <f>'Biểu 01'!U65</f>
        <v>1.05</v>
      </c>
      <c r="K64" s="250">
        <f>'Biểu 01'!W65</f>
        <v>19652716.209112957</v>
      </c>
      <c r="L64" s="247"/>
      <c r="M64" s="250">
        <f t="shared" si="0"/>
        <v>19652716.209112957</v>
      </c>
    </row>
    <row r="65" spans="1:13" ht="51" x14ac:dyDescent="0.2">
      <c r="A65" s="232" t="str">
        <f>'Biểu 01'!A66</f>
        <v>-</v>
      </c>
      <c r="B65" s="253" t="str">
        <f>'Biểu 01'!B66</f>
        <v>Lựa chọn các loại đất theo mục đích sử dụng để đánh giá mức độ thích hợp đất đai</v>
      </c>
      <c r="C65" s="232" t="str">
        <f>'Biểu 01'!N66</f>
        <v>Nhóm 3 (1KTV6, 2KS3)</v>
      </c>
      <c r="D65" s="247">
        <f>'Biểu 01'!O66</f>
        <v>22</v>
      </c>
      <c r="E65" s="240"/>
      <c r="F65" s="248">
        <f>'Biểu 01'!Q66</f>
        <v>984789</v>
      </c>
      <c r="G65" s="241"/>
      <c r="H65" s="247">
        <f>'Biểu 01'!S66</f>
        <v>0.93735480000000004</v>
      </c>
      <c r="I65" s="247">
        <f>'Biểu 01'!T66</f>
        <v>1.0138088814763606</v>
      </c>
      <c r="J65" s="247">
        <f>'Biểu 01'!U66</f>
        <v>1.05</v>
      </c>
      <c r="K65" s="250">
        <f>'Biểu 01'!W66</f>
        <v>21617987.830024246</v>
      </c>
      <c r="L65" s="247"/>
      <c r="M65" s="250">
        <f t="shared" si="0"/>
        <v>21617987.830024246</v>
      </c>
    </row>
    <row r="66" spans="1:13" ht="63.75" x14ac:dyDescent="0.2">
      <c r="A66" s="232" t="str">
        <f>'Biểu 01'!A67</f>
        <v>-</v>
      </c>
      <c r="B66" s="253" t="str">
        <f>'Biểu 01'!B67</f>
        <v>Xác định yêu cầu sử dụng đất của các cây trồng chính của 16 huyện, thị xã, thành phố</v>
      </c>
      <c r="C66" s="232" t="str">
        <f>'Biểu 01'!N67</f>
        <v>Nhóm 2 (1KS3, 1KSC2)</v>
      </c>
      <c r="D66" s="247">
        <f>'Biểu 01'!O67</f>
        <v>40</v>
      </c>
      <c r="E66" s="240"/>
      <c r="F66" s="248">
        <f>'Biểu 01'!Q67</f>
        <v>860301</v>
      </c>
      <c r="G66" s="241"/>
      <c r="H66" s="247">
        <f>'Biểu 01'!S67</f>
        <v>0.93735480000000004</v>
      </c>
      <c r="I66" s="247">
        <f>'Biểu 01'!T67</f>
        <v>1.0138088814763606</v>
      </c>
      <c r="J66" s="247">
        <f>'Biểu 01'!U67</f>
        <v>1.05</v>
      </c>
      <c r="K66" s="250">
        <f>'Biểu 01'!W67</f>
        <v>34336799.877772972</v>
      </c>
      <c r="L66" s="247"/>
      <c r="M66" s="250">
        <f t="shared" si="0"/>
        <v>34336799.877772972</v>
      </c>
    </row>
    <row r="67" spans="1:13" ht="63.75" x14ac:dyDescent="0.2">
      <c r="A67" s="233" t="str">
        <f>'Biểu 01'!A68</f>
        <v>c</v>
      </c>
      <c r="B67" s="234" t="str">
        <f>'Biểu 01'!B68</f>
        <v>Xây dựng bản đồ mức độ thích hợp đất đai cho các cây trồng chính của 16 huyện, thị xã, thành phố</v>
      </c>
      <c r="C67" s="232"/>
      <c r="D67" s="240"/>
      <c r="E67" s="240"/>
      <c r="F67" s="241"/>
      <c r="G67" s="241"/>
      <c r="H67" s="240"/>
      <c r="I67" s="240"/>
      <c r="J67" s="240"/>
      <c r="K67" s="238">
        <f>'Biểu 01'!W68</f>
        <v>214214606.67933118</v>
      </c>
      <c r="L67" s="249"/>
      <c r="M67" s="238">
        <f t="shared" si="0"/>
        <v>214214606.67933118</v>
      </c>
    </row>
    <row r="68" spans="1:13" ht="76.5" x14ac:dyDescent="0.2">
      <c r="A68" s="232" t="str">
        <f>'Biểu 01'!A69</f>
        <v>-</v>
      </c>
      <c r="B68" s="253" t="str">
        <f>'Biểu 01'!B69</f>
        <v>Đối chiếu yêu cầu sử dụng đất của từng cây trồng với các đặc điểm của đơn vị đất đai để mức độ thích hợp đất đai của mỗi khoanh đất</v>
      </c>
      <c r="C68" s="232" t="str">
        <f>'Biểu 01'!N69</f>
        <v>Nhóm 3 (1KTV6, 2KS3)</v>
      </c>
      <c r="D68" s="247">
        <f>'Biểu 01'!O69</f>
        <v>198</v>
      </c>
      <c r="E68" s="240"/>
      <c r="F68" s="248">
        <f>'Biểu 01'!Q69</f>
        <v>984789</v>
      </c>
      <c r="G68" s="241"/>
      <c r="H68" s="247">
        <f>'Biểu 01'!S69</f>
        <v>0.93735480000000004</v>
      </c>
      <c r="I68" s="247">
        <f>'Biểu 01'!T69</f>
        <v>1.0138088814763606</v>
      </c>
      <c r="J68" s="247">
        <f>'Biểu 01'!U69</f>
        <v>1.05</v>
      </c>
      <c r="K68" s="250">
        <f>'Biểu 01'!W69</f>
        <v>194561890.47021824</v>
      </c>
      <c r="L68" s="247"/>
      <c r="M68" s="250">
        <f t="shared" si="0"/>
        <v>194561890.47021824</v>
      </c>
    </row>
    <row r="69" spans="1:13" ht="51" x14ac:dyDescent="0.2">
      <c r="A69" s="232" t="str">
        <f>'Biểu 01'!A70</f>
        <v>-</v>
      </c>
      <c r="B69" s="253" t="str">
        <f>'Biểu 01'!B70</f>
        <v xml:space="preserve">Xây dựng hệ thống chú dẫn và biên tập bản đồ thích hợp đất đai cho các cây trồng chính </v>
      </c>
      <c r="C69" s="232" t="str">
        <f>'Biểu 01'!N70</f>
        <v>Nhóm 3 (1KTV6, 2KS3)</v>
      </c>
      <c r="D69" s="247">
        <f>'Biểu 01'!O70</f>
        <v>20</v>
      </c>
      <c r="E69" s="240"/>
      <c r="F69" s="248">
        <f>'Biểu 01'!Q70</f>
        <v>984789</v>
      </c>
      <c r="G69" s="241"/>
      <c r="H69" s="247">
        <f>'Biểu 01'!S70</f>
        <v>0.93735480000000004</v>
      </c>
      <c r="I69" s="247">
        <f>'Biểu 01'!T70</f>
        <v>1.0138088814763606</v>
      </c>
      <c r="J69" s="247">
        <f>'Biểu 01'!U70</f>
        <v>1.05</v>
      </c>
      <c r="K69" s="250">
        <f>'Biểu 01'!W70</f>
        <v>19652716.209112957</v>
      </c>
      <c r="L69" s="247"/>
      <c r="M69" s="250">
        <f t="shared" si="0"/>
        <v>19652716.209112957</v>
      </c>
    </row>
    <row r="70" spans="1:13" ht="76.5" x14ac:dyDescent="0.2">
      <c r="A70" s="233" t="str">
        <f>'Biểu 01'!A71</f>
        <v>d</v>
      </c>
      <c r="B70" s="234" t="str">
        <f>'Biểu 01'!B71</f>
        <v>Đánh giá mức độ phù hợp của hiện trạng sử dụng đất nông nghiệp và xây dựng báo cáo kết quả đánh giá mức độ thích hợp đất đai</v>
      </c>
      <c r="C70" s="232"/>
      <c r="D70" s="240"/>
      <c r="E70" s="240"/>
      <c r="F70" s="241"/>
      <c r="G70" s="241"/>
      <c r="H70" s="240"/>
      <c r="I70" s="240"/>
      <c r="J70" s="240"/>
      <c r="K70" s="238">
        <f>'Biểu 01'!W71</f>
        <v>156372182.23406726</v>
      </c>
      <c r="L70" s="249"/>
      <c r="M70" s="238">
        <f t="shared" si="0"/>
        <v>156372182.23406726</v>
      </c>
    </row>
    <row r="71" spans="1:13" ht="114.75" x14ac:dyDescent="0.2">
      <c r="A71" s="232" t="str">
        <f>'Biểu 01'!A72</f>
        <v>-</v>
      </c>
      <c r="B71" s="253" t="str">
        <f>'Biểu 01'!B72</f>
        <v>Thống kê kết quả đánh giá mức độ thích hợp đất đai, đối chiếu kết quả đánh giá mức độ thích hợp đất đai với hiện trạng sử dụng đất để xác định mức độ phù hợp của hiện trạng sử dụng đất nông nghiệp</v>
      </c>
      <c r="C71" s="232" t="str">
        <f>'Biểu 01'!N72</f>
        <v>Nhóm 2 (2KS3)</v>
      </c>
      <c r="D71" s="247">
        <f>'Biểu 01'!O72</f>
        <v>82</v>
      </c>
      <c r="E71" s="240"/>
      <c r="F71" s="248">
        <f>'Biểu 01'!Q72</f>
        <v>666900</v>
      </c>
      <c r="G71" s="241"/>
      <c r="H71" s="247">
        <f>'Biểu 01'!S72</f>
        <v>0.93735480000000004</v>
      </c>
      <c r="I71" s="247">
        <f>'Biểu 01'!T72</f>
        <v>1.0138088814763606</v>
      </c>
      <c r="J71" s="247">
        <f>'Biểu 01'!U72</f>
        <v>1.05</v>
      </c>
      <c r="K71" s="250">
        <f>'Biểu 01'!W72</f>
        <v>54566232.363902785</v>
      </c>
      <c r="L71" s="247"/>
      <c r="M71" s="250">
        <f t="shared" si="0"/>
        <v>54566232.363902785</v>
      </c>
    </row>
    <row r="72" spans="1:13" ht="63.75" x14ac:dyDescent="0.2">
      <c r="A72" s="232" t="str">
        <f>'Biểu 01'!A73</f>
        <v>-</v>
      </c>
      <c r="B72" s="253" t="str">
        <f>'Biểu 01'!B73</f>
        <v>Tổng hợp các đơn vị đất đai có cùng mức độ thích hợp đất đai với cùng các mục đích sử dụng đất</v>
      </c>
      <c r="C72" s="232" t="str">
        <f>'Biểu 01'!N73</f>
        <v>Nhóm 2 (1KS3, 1KS5)</v>
      </c>
      <c r="D72" s="247">
        <f>'Biểu 01'!O73</f>
        <v>49</v>
      </c>
      <c r="E72" s="240"/>
      <c r="F72" s="248">
        <f>'Biểu 01'!Q73</f>
        <v>740259</v>
      </c>
      <c r="G72" s="241"/>
      <c r="H72" s="247">
        <f>'Biểu 01'!S73</f>
        <v>0.93735480000000004</v>
      </c>
      <c r="I72" s="247">
        <f>'Biểu 01'!T73</f>
        <v>1.0138088814763606</v>
      </c>
      <c r="J72" s="247">
        <f>'Biểu 01'!U73</f>
        <v>1.05</v>
      </c>
      <c r="K72" s="250">
        <f>'Biểu 01'!W73</f>
        <v>36193382.661861859</v>
      </c>
      <c r="L72" s="247"/>
      <c r="M72" s="250">
        <f t="shared" ref="M72:M141" si="1">SUM(K72:L72)</f>
        <v>36193382.661861859</v>
      </c>
    </row>
    <row r="73" spans="1:13" ht="76.5" x14ac:dyDescent="0.2">
      <c r="A73" s="232" t="str">
        <f>'Biểu 01'!A74</f>
        <v>-</v>
      </c>
      <c r="B73" s="253" t="str">
        <f>'Biểu 01'!B74</f>
        <v>Phân tích, đánh giá mức độ phù hợp của hiện trạng sử dụng đất nông nghiệp với kết quả đánh giá mức độ thích hợp đất đai</v>
      </c>
      <c r="C73" s="232" t="str">
        <f>'Biểu 01'!N74</f>
        <v>Nhóm 2 (1KS3, 1KSC2)</v>
      </c>
      <c r="D73" s="247">
        <f>'Biểu 01'!O74</f>
        <v>20</v>
      </c>
      <c r="E73" s="240"/>
      <c r="F73" s="248">
        <f>'Biểu 01'!Q74</f>
        <v>860301</v>
      </c>
      <c r="G73" s="241"/>
      <c r="H73" s="247">
        <f>'Biểu 01'!S74</f>
        <v>0.93735480000000004</v>
      </c>
      <c r="I73" s="247">
        <f>'Biểu 01'!T74</f>
        <v>1.0138088814763606</v>
      </c>
      <c r="J73" s="247">
        <f>'Biểu 01'!U74</f>
        <v>1.05</v>
      </c>
      <c r="K73" s="250">
        <f>'Biểu 01'!W74</f>
        <v>17168399.938886486</v>
      </c>
      <c r="L73" s="247"/>
      <c r="M73" s="250">
        <f t="shared" si="1"/>
        <v>17168399.938886486</v>
      </c>
    </row>
    <row r="74" spans="1:13" ht="38.25" x14ac:dyDescent="0.2">
      <c r="A74" s="232" t="str">
        <f>'Biểu 01'!A75</f>
        <v>-</v>
      </c>
      <c r="B74" s="253" t="str">
        <f>'Biểu 01'!B75</f>
        <v xml:space="preserve">Xây dựng các phụ lục, bản đồ thu nhỏ đính kèm báo cáo </v>
      </c>
      <c r="C74" s="232" t="str">
        <f>'Biểu 01'!N75</f>
        <v>Nhóm 2 (1KTV6, 1KS5)</v>
      </c>
      <c r="D74" s="247">
        <f>'Biểu 01'!O75</f>
        <v>30</v>
      </c>
      <c r="E74" s="240"/>
      <c r="F74" s="248">
        <f>'Biểu 01'!Q75</f>
        <v>724698</v>
      </c>
      <c r="G74" s="241"/>
      <c r="H74" s="247">
        <f>'Biểu 01'!S75</f>
        <v>0.93735480000000004</v>
      </c>
      <c r="I74" s="247">
        <f>'Biểu 01'!T75</f>
        <v>1.0138088814763606</v>
      </c>
      <c r="J74" s="247">
        <f>'Biểu 01'!U75</f>
        <v>1.05</v>
      </c>
      <c r="K74" s="250">
        <f>'Biểu 01'!W75</f>
        <v>21693404.573941834</v>
      </c>
      <c r="L74" s="247"/>
      <c r="M74" s="250">
        <f t="shared" si="1"/>
        <v>21693404.573941834</v>
      </c>
    </row>
    <row r="75" spans="1:13" ht="51" x14ac:dyDescent="0.2">
      <c r="A75" s="232" t="str">
        <f>'Biểu 01'!A76</f>
        <v>-</v>
      </c>
      <c r="B75" s="253" t="str">
        <f>'Biểu 01'!B76</f>
        <v xml:space="preserve">Biên soạn báo cáo tổng hợp kết quả đánh giá mức độ thích hợp đất đai </v>
      </c>
      <c r="C75" s="232" t="str">
        <f>'Biểu 01'!N76</f>
        <v>Nhóm 3 (1KS4, 1KS6, 1KSC2)</v>
      </c>
      <c r="D75" s="247">
        <f>'Biểu 01'!O76</f>
        <v>20</v>
      </c>
      <c r="E75" s="240"/>
      <c r="F75" s="248">
        <f>'Biểu 01'!Q76</f>
        <v>1340469</v>
      </c>
      <c r="G75" s="241"/>
      <c r="H75" s="247">
        <f>'Biểu 01'!S76</f>
        <v>0.93735480000000004</v>
      </c>
      <c r="I75" s="247">
        <f>'Biểu 01'!T76</f>
        <v>1.0138088814763606</v>
      </c>
      <c r="J75" s="247">
        <f>'Biểu 01'!U76</f>
        <v>1.05</v>
      </c>
      <c r="K75" s="250">
        <f>'Biểu 01'!W76</f>
        <v>26750762.695474293</v>
      </c>
      <c r="L75" s="247"/>
      <c r="M75" s="250">
        <f t="shared" si="1"/>
        <v>26750762.695474293</v>
      </c>
    </row>
    <row r="76" spans="1:13" ht="81" x14ac:dyDescent="0.2">
      <c r="A76" s="242" t="str">
        <f>'Biểu 01'!A77</f>
        <v>5.2</v>
      </c>
      <c r="B76" s="243" t="str">
        <f>'Biểu 01'!B77</f>
        <v>Định hướng sử dụng đất sản xuất nông nghiệp bền vững và đề xuất các giải pháp khoa học nhằm bảo vệ và cải tạo đất</v>
      </c>
      <c r="C76" s="232"/>
      <c r="D76" s="240"/>
      <c r="E76" s="240"/>
      <c r="F76" s="241"/>
      <c r="G76" s="241"/>
      <c r="H76" s="241"/>
      <c r="I76" s="241"/>
      <c r="J76" s="241"/>
      <c r="K76" s="245">
        <f>'Biểu 01'!W77</f>
        <v>319758121.65247035</v>
      </c>
      <c r="L76" s="244"/>
      <c r="M76" s="245">
        <f t="shared" si="1"/>
        <v>319758121.65247035</v>
      </c>
    </row>
    <row r="77" spans="1:13" ht="51" x14ac:dyDescent="0.2">
      <c r="A77" s="232" t="str">
        <f>'Biểu 01'!A78</f>
        <v>a</v>
      </c>
      <c r="B77" s="253" t="str">
        <f>'Biểu 01'!B78</f>
        <v>Xác định mục quan điểm, mục tiêu chiến lược khai thác tài nguyên đất bền vững</v>
      </c>
      <c r="C77" s="232" t="str">
        <f>'Biểu 01'!N78</f>
        <v>Nhóm 2 (1KS4, 1KS6)</v>
      </c>
      <c r="D77" s="247">
        <f>'Biểu 01'!O78</f>
        <v>23</v>
      </c>
      <c r="E77" s="240"/>
      <c r="F77" s="248">
        <f>'Biểu 01'!Q78</f>
        <v>813618</v>
      </c>
      <c r="G77" s="241"/>
      <c r="H77" s="247">
        <f>'Biểu 01'!S78</f>
        <v>0.93735480000000004</v>
      </c>
      <c r="I77" s="247">
        <f>'Biểu 01'!T78</f>
        <v>1.0138088814763606</v>
      </c>
      <c r="J77" s="247">
        <f>'Biểu 01'!U78</f>
        <v>1.05</v>
      </c>
      <c r="K77" s="250">
        <f>'Biểu 01'!W78</f>
        <v>18672298.538184293</v>
      </c>
      <c r="L77" s="247"/>
      <c r="M77" s="250">
        <f t="shared" si="1"/>
        <v>18672298.538184293</v>
      </c>
    </row>
    <row r="78" spans="1:13" ht="38.25" x14ac:dyDescent="0.2">
      <c r="A78" s="232" t="str">
        <f>'Biểu 01'!A79</f>
        <v>b</v>
      </c>
      <c r="B78" s="253" t="str">
        <f>'Biểu 01'!B79</f>
        <v>Xác định các giải pháp về qianr lý, sử dụng đất bền vững</v>
      </c>
      <c r="C78" s="232" t="str">
        <f>'Biểu 01'!N79</f>
        <v>Nhóm 2 (1KS4, 1KS6)</v>
      </c>
      <c r="D78" s="247">
        <f>'Biểu 01'!O79</f>
        <v>34</v>
      </c>
      <c r="E78" s="240"/>
      <c r="F78" s="248">
        <f>'Biểu 01'!Q79</f>
        <v>813618</v>
      </c>
      <c r="G78" s="241"/>
      <c r="H78" s="247">
        <f>'Biểu 01'!S79</f>
        <v>0.93735480000000004</v>
      </c>
      <c r="I78" s="247">
        <f>'Biểu 01'!T79</f>
        <v>1.0138088814763606</v>
      </c>
      <c r="J78" s="247">
        <f>'Biểu 01'!U79</f>
        <v>1.05</v>
      </c>
      <c r="K78" s="250">
        <f>'Biểu 01'!W79</f>
        <v>27602528.273837652</v>
      </c>
      <c r="L78" s="247"/>
      <c r="M78" s="250">
        <f t="shared" si="1"/>
        <v>27602528.273837652</v>
      </c>
    </row>
    <row r="79" spans="1:13" ht="38.25" x14ac:dyDescent="0.2">
      <c r="A79" s="232" t="str">
        <f>'Biểu 01'!A80</f>
        <v>c</v>
      </c>
      <c r="B79" s="253" t="str">
        <f>'Biểu 01'!B80</f>
        <v>Xác định các giải pháp kỹ thuật để bảo vệ và cải tạo đất</v>
      </c>
      <c r="C79" s="232" t="str">
        <f>'Biểu 01'!N80</f>
        <v>Nhóm 2 (1KS4, 1KS6)</v>
      </c>
      <c r="D79" s="247">
        <f>'Biểu 01'!O80</f>
        <v>34</v>
      </c>
      <c r="E79" s="240"/>
      <c r="F79" s="248">
        <f>'Biểu 01'!Q80</f>
        <v>813618</v>
      </c>
      <c r="G79" s="241"/>
      <c r="H79" s="247">
        <f>'Biểu 01'!S80</f>
        <v>0.93735480000000004</v>
      </c>
      <c r="I79" s="247">
        <f>'Biểu 01'!T80</f>
        <v>1.0138088814763606</v>
      </c>
      <c r="J79" s="247">
        <f>'Biểu 01'!U80</f>
        <v>1.05</v>
      </c>
      <c r="K79" s="250">
        <f>'Biểu 01'!W80</f>
        <v>27602528.273837652</v>
      </c>
      <c r="L79" s="247"/>
      <c r="M79" s="250">
        <f t="shared" si="1"/>
        <v>27602528.273837652</v>
      </c>
    </row>
    <row r="80" spans="1:13" ht="38.25" x14ac:dyDescent="0.2">
      <c r="A80" s="232" t="str">
        <f>'Biểu 01'!A82</f>
        <v>-</v>
      </c>
      <c r="B80" s="253" t="str">
        <f>'Biểu 01'!B82</f>
        <v>Xây dựng định hướng sử dụng đất</v>
      </c>
      <c r="C80" s="232" t="str">
        <f>'Biểu 01'!N82</f>
        <v>Nhóm 4 (2KS4, 2KS6)</v>
      </c>
      <c r="D80" s="247">
        <f>'Biểu 01'!O82</f>
        <v>35</v>
      </c>
      <c r="E80" s="240"/>
      <c r="F80" s="248">
        <f>'Biểu 01'!Q82</f>
        <v>1627236</v>
      </c>
      <c r="G80" s="241"/>
      <c r="H80" s="247">
        <f>'Biểu 01'!S82</f>
        <v>0.93735480000000004</v>
      </c>
      <c r="I80" s="247">
        <f>'Biểu 01'!T82</f>
        <v>1.0138088814763606</v>
      </c>
      <c r="J80" s="247">
        <f>'Biểu 01'!U82</f>
        <v>1.05</v>
      </c>
      <c r="K80" s="250">
        <f>'Biểu 01'!W82</f>
        <v>56828734.681430452</v>
      </c>
      <c r="L80" s="247"/>
      <c r="M80" s="250">
        <f t="shared" si="1"/>
        <v>56828734.681430452</v>
      </c>
    </row>
    <row r="81" spans="1:13" ht="38.25" x14ac:dyDescent="0.2">
      <c r="A81" s="232" t="str">
        <f>'Biểu 01'!A83</f>
        <v>-</v>
      </c>
      <c r="B81" s="253" t="str">
        <f>'Biểu 01'!B83</f>
        <v>Xây dựng bản đồ định hướng sử dụng đất</v>
      </c>
      <c r="C81" s="232" t="str">
        <f>'Biểu 01'!N83</f>
        <v>Nhóm 3 (1KTV6, 2KS3)</v>
      </c>
      <c r="D81" s="247">
        <f>'Biểu 01'!O83</f>
        <v>180</v>
      </c>
      <c r="E81" s="240"/>
      <c r="F81" s="248">
        <f>'Biểu 01'!Q83</f>
        <v>984789</v>
      </c>
      <c r="G81" s="241"/>
      <c r="H81" s="247">
        <f>'Biểu 01'!S83</f>
        <v>0.93735480000000004</v>
      </c>
      <c r="I81" s="247">
        <f>'Biểu 01'!T83</f>
        <v>1.0138088814763606</v>
      </c>
      <c r="J81" s="247">
        <f>'Biểu 01'!U83</f>
        <v>1.05</v>
      </c>
      <c r="K81" s="250">
        <f>'Biểu 01'!W83</f>
        <v>176874445.88201657</v>
      </c>
      <c r="L81" s="247"/>
      <c r="M81" s="250">
        <f t="shared" si="1"/>
        <v>176874445.88201657</v>
      </c>
    </row>
    <row r="82" spans="1:13" ht="38.25" x14ac:dyDescent="0.2">
      <c r="A82" s="232" t="str">
        <f>'Biểu 01'!A84</f>
        <v>-</v>
      </c>
      <c r="B82" s="253" t="str">
        <f>'Biểu 01'!B84</f>
        <v>Xây dựng báo cáo thuyết minh định hướng sử dụng đất</v>
      </c>
      <c r="C82" s="232" t="str">
        <f>'Biểu 01'!N84</f>
        <v>Nhóm 2 (1KS4, 1KS6)</v>
      </c>
      <c r="D82" s="247">
        <f>'Biểu 01'!O84</f>
        <v>15</v>
      </c>
      <c r="E82" s="240"/>
      <c r="F82" s="248">
        <f>'Biểu 01'!Q84</f>
        <v>813618</v>
      </c>
      <c r="G82" s="241"/>
      <c r="H82" s="247">
        <f>'Biểu 01'!S84</f>
        <v>0.93735480000000004</v>
      </c>
      <c r="I82" s="247">
        <f>'Biểu 01'!T84</f>
        <v>1.0138088814763606</v>
      </c>
      <c r="J82" s="247">
        <f>'Biểu 01'!U84</f>
        <v>1.05</v>
      </c>
      <c r="K82" s="250">
        <f>'Biểu 01'!W84</f>
        <v>12177586.003163669</v>
      </c>
      <c r="L82" s="247"/>
      <c r="M82" s="250">
        <f t="shared" si="1"/>
        <v>12177586.003163669</v>
      </c>
    </row>
    <row r="83" spans="1:13" ht="67.5" x14ac:dyDescent="0.2">
      <c r="A83" s="274" t="str">
        <f>'Biểu 01'!A85</f>
        <v>5.3</v>
      </c>
      <c r="B83" s="275" t="str">
        <f>'Biểu 01'!B85</f>
        <v>Tách bản đồ thích hợp đất đai toàn vùng thành bản đồ nông hóa cấp huyện tỷ lệ 1:25.000</v>
      </c>
      <c r="C83" s="276"/>
      <c r="D83" s="277"/>
      <c r="E83" s="277"/>
      <c r="F83" s="278"/>
      <c r="G83" s="278"/>
      <c r="H83" s="277"/>
      <c r="I83" s="277"/>
      <c r="J83" s="277"/>
      <c r="K83" s="279">
        <f>'Biểu 01'!W85</f>
        <v>94599244.102145359</v>
      </c>
      <c r="L83" s="277"/>
      <c r="M83" s="279">
        <f>SUM(K83:L83)</f>
        <v>94599244.102145359</v>
      </c>
    </row>
    <row r="84" spans="1:13" ht="51" x14ac:dyDescent="0.2">
      <c r="A84" s="276" t="str">
        <f>'Biểu 01'!A86</f>
        <v>-</v>
      </c>
      <c r="B84" s="280" t="str">
        <f>'Biểu 01'!B86</f>
        <v>Xây dựng hệ thống chú dẫn và biên tập bản đồ thích hợp đất đai cấp huyện (17 huyện)</v>
      </c>
      <c r="C84" s="276"/>
      <c r="D84" s="277"/>
      <c r="E84" s="277"/>
      <c r="F84" s="278"/>
      <c r="G84" s="278"/>
      <c r="H84" s="277"/>
      <c r="I84" s="277"/>
      <c r="J84" s="277"/>
      <c r="K84" s="281">
        <f>'Biểu 01'!W86</f>
        <v>0</v>
      </c>
      <c r="L84" s="277"/>
      <c r="M84" s="281">
        <f>SUM(K84:L84)</f>
        <v>0</v>
      </c>
    </row>
    <row r="85" spans="1:13" ht="63.75" x14ac:dyDescent="0.2">
      <c r="A85" s="276" t="str">
        <f>'Biểu 01'!A87</f>
        <v>-</v>
      </c>
      <c r="B85" s="280" t="str">
        <f>'Biểu 01'!B87</f>
        <v>In bản đồ và xây dựng báo cáo thuyết minh bản đồ thích hợp đất đai cho 16 huyện, thị xã, thành phố</v>
      </c>
      <c r="C85" s="276"/>
      <c r="D85" s="277"/>
      <c r="E85" s="277"/>
      <c r="F85" s="278"/>
      <c r="G85" s="278"/>
      <c r="H85" s="277"/>
      <c r="I85" s="277"/>
      <c r="J85" s="277"/>
      <c r="K85" s="281">
        <f>'Biểu 01'!W87</f>
        <v>94599244.102145359</v>
      </c>
      <c r="L85" s="277"/>
      <c r="M85" s="281">
        <f>SUM(K85:L85)</f>
        <v>94599244.102145359</v>
      </c>
    </row>
    <row r="86" spans="1:13" ht="94.5" x14ac:dyDescent="0.2">
      <c r="A86" s="242" t="str">
        <f>'Biểu 01'!A88</f>
        <v>5.4</v>
      </c>
      <c r="B86" s="243" t="str">
        <f>'Biểu 01'!B88</f>
        <v>Xây dựng bản đồ khuyến cáo bón phân cân đối và chế độ canh tác thích hợp cho một số cây trồng chính cho 16 huyện, thị xã, thành phố</v>
      </c>
      <c r="C86" s="232"/>
      <c r="D86" s="240"/>
      <c r="E86" s="240"/>
      <c r="F86" s="241"/>
      <c r="G86" s="241"/>
      <c r="H86" s="240"/>
      <c r="I86" s="240"/>
      <c r="J86" s="240"/>
      <c r="K86" s="245">
        <f>'Biểu 01'!W88</f>
        <v>353748891.7640332</v>
      </c>
      <c r="L86" s="240"/>
      <c r="M86" s="245">
        <f t="shared" si="1"/>
        <v>353748891.7640332</v>
      </c>
    </row>
    <row r="87" spans="1:13" ht="51" x14ac:dyDescent="0.2">
      <c r="A87" s="232" t="str">
        <f>'Biểu 01'!A89</f>
        <v>-</v>
      </c>
      <c r="B87" s="253" t="str">
        <f>'Biểu 01'!B89</f>
        <v>Xác định cơ sở để tính toán được lượng phân bón cần thiết nhằm đạt năng suất mục tiêu</v>
      </c>
      <c r="C87" s="232" t="str">
        <f>'Biểu 01'!N89</f>
        <v>Nhóm 3 (1KTV6, 2KS3)</v>
      </c>
      <c r="D87" s="247">
        <f>'Biểu 01'!O89</f>
        <v>4</v>
      </c>
      <c r="E87" s="240"/>
      <c r="F87" s="248">
        <f>'Biểu 01'!Q89</f>
        <v>984789</v>
      </c>
      <c r="G87" s="241"/>
      <c r="H87" s="247">
        <f>'Biểu 01'!S89</f>
        <v>0.93735480000000004</v>
      </c>
      <c r="I87" s="247">
        <f>'Biểu 01'!T89</f>
        <v>1.0138088814763606</v>
      </c>
      <c r="J87" s="247">
        <f>'Biểu 01'!U89</f>
        <v>1.05</v>
      </c>
      <c r="K87" s="250">
        <f>'Biểu 01'!W89</f>
        <v>3930543.2418225906</v>
      </c>
      <c r="L87" s="247"/>
      <c r="M87" s="250">
        <f t="shared" si="1"/>
        <v>3930543.2418225906</v>
      </c>
    </row>
    <row r="88" spans="1:13" ht="89.25" x14ac:dyDescent="0.2">
      <c r="A88" s="232" t="str">
        <f>'Biểu 01'!A90</f>
        <v>-</v>
      </c>
      <c r="B88" s="253" t="str">
        <f>'Biểu 01'!B90</f>
        <v>Tính toán mức phân bón và nhập thông tin thuộc tính khuyến cáo bón phân cân đối đến từng khoanh đất theo các lớp thông tin phân bón đã tính toán</v>
      </c>
      <c r="C88" s="232" t="str">
        <f>'Biểu 01'!N90</f>
        <v>Nhóm 3 (1KTV6, 2KS3)</v>
      </c>
      <c r="D88" s="247">
        <f>'Biểu 01'!O90</f>
        <v>120</v>
      </c>
      <c r="E88" s="240"/>
      <c r="F88" s="248">
        <f>'Biểu 01'!Q90</f>
        <v>984789</v>
      </c>
      <c r="G88" s="241"/>
      <c r="H88" s="247">
        <f>'Biểu 01'!S90</f>
        <v>0.93735480000000004</v>
      </c>
      <c r="I88" s="247">
        <f>'Biểu 01'!T90</f>
        <v>1.0138088814763606</v>
      </c>
      <c r="J88" s="247">
        <f>'Biểu 01'!U90</f>
        <v>1.05</v>
      </c>
      <c r="K88" s="250">
        <f>'Biểu 01'!W90</f>
        <v>117916297.25467773</v>
      </c>
      <c r="L88" s="247"/>
      <c r="M88" s="250">
        <f t="shared" si="1"/>
        <v>117916297.25467773</v>
      </c>
    </row>
    <row r="89" spans="1:13" ht="51" x14ac:dyDescent="0.2">
      <c r="A89" s="232" t="str">
        <f>'Biểu 01'!A91</f>
        <v>-</v>
      </c>
      <c r="B89" s="253" t="str">
        <f>'Biểu 01'!B91</f>
        <v>Phân cấp thông tin theo các nhóm chỉ tiêu phân bón  đến từng khoanh đất</v>
      </c>
      <c r="C89" s="232" t="str">
        <f>'Biểu 01'!N91</f>
        <v>Nhóm 3 (1KTV6, 2KS3)</v>
      </c>
      <c r="D89" s="247">
        <f>'Biểu 01'!O91</f>
        <v>70</v>
      </c>
      <c r="E89" s="240"/>
      <c r="F89" s="248">
        <f>'Biểu 01'!Q91</f>
        <v>984789</v>
      </c>
      <c r="G89" s="241"/>
      <c r="H89" s="247">
        <f>'Biểu 01'!S91</f>
        <v>0.93735480000000004</v>
      </c>
      <c r="I89" s="247">
        <f>'Biểu 01'!T91</f>
        <v>1.0138088814763606</v>
      </c>
      <c r="J89" s="247">
        <f>'Biểu 01'!U91</f>
        <v>1.05</v>
      </c>
      <c r="K89" s="250">
        <f>'Biểu 01'!W91</f>
        <v>68784506.731895342</v>
      </c>
      <c r="L89" s="247"/>
      <c r="M89" s="250">
        <f t="shared" si="1"/>
        <v>68784506.731895342</v>
      </c>
    </row>
    <row r="90" spans="1:13" ht="89.25" x14ac:dyDescent="0.2">
      <c r="A90" s="232" t="str">
        <f>'Biểu 01'!A92</f>
        <v>-</v>
      </c>
      <c r="B90" s="253" t="str">
        <f>'Biểu 01'!B92</f>
        <v>Chồng xếp bản đồ khuyến cáo bón phân cân đối và lớp thông tin về tình hình sử dụng đất để xác định mức bón phân theo mục đích sử dụng đất</v>
      </c>
      <c r="C90" s="232" t="str">
        <f>'Biểu 01'!N92</f>
        <v>Nhóm 3 (1KTV6, 2KS3)</v>
      </c>
      <c r="D90" s="247">
        <f>'Biểu 01'!O92</f>
        <v>154</v>
      </c>
      <c r="E90" s="240"/>
      <c r="F90" s="248">
        <f>'Biểu 01'!Q92</f>
        <v>984789</v>
      </c>
      <c r="G90" s="241"/>
      <c r="H90" s="247">
        <f>'Biểu 01'!S92</f>
        <v>0.93735480000000004</v>
      </c>
      <c r="I90" s="247">
        <f>'Biểu 01'!T92</f>
        <v>1.0138088814763606</v>
      </c>
      <c r="J90" s="247">
        <f>'Biểu 01'!U92</f>
        <v>1.05</v>
      </c>
      <c r="K90" s="250">
        <f>'Biểu 01'!W92</f>
        <v>151325914.81016976</v>
      </c>
      <c r="L90" s="247"/>
      <c r="M90" s="250">
        <f t="shared" si="1"/>
        <v>151325914.81016976</v>
      </c>
    </row>
    <row r="91" spans="1:13" ht="51" x14ac:dyDescent="0.2">
      <c r="A91" s="232" t="str">
        <f>'Biểu 01'!A93</f>
        <v>-</v>
      </c>
      <c r="B91" s="253" t="str">
        <f>'Biểu 01'!B93</f>
        <v xml:space="preserve">Xây dựng hệ thống chú dẫn và biên tập bản đồ khuyến cáo sử dụng phân bón </v>
      </c>
      <c r="C91" s="232" t="str">
        <f>'Biểu 01'!N93</f>
        <v>Nhóm 3 (1KTV6, 2KS3)</v>
      </c>
      <c r="D91" s="247">
        <f>'Biểu 01'!O93</f>
        <v>12</v>
      </c>
      <c r="E91" s="240"/>
      <c r="F91" s="248">
        <f>'Biểu 01'!Q93</f>
        <v>984789</v>
      </c>
      <c r="G91" s="241"/>
      <c r="H91" s="247">
        <f>'Biểu 01'!S93</f>
        <v>0.93735480000000004</v>
      </c>
      <c r="I91" s="247">
        <f>'Biểu 01'!T93</f>
        <v>1.0138088814763606</v>
      </c>
      <c r="J91" s="247">
        <f>'Biểu 01'!U93</f>
        <v>1.05</v>
      </c>
      <c r="K91" s="250">
        <f>'Biểu 01'!W93</f>
        <v>11791629.725467773</v>
      </c>
      <c r="L91" s="247"/>
      <c r="M91" s="250">
        <f t="shared" si="1"/>
        <v>11791629.725467773</v>
      </c>
    </row>
    <row r="92" spans="1:13" ht="51" x14ac:dyDescent="0.2">
      <c r="A92" s="232" t="str">
        <f>'Biểu 01'!A94</f>
        <v>-</v>
      </c>
      <c r="B92" s="253" t="str">
        <f>'Biểu 01'!B94</f>
        <v xml:space="preserve">In bản đồ và xây dựng báo cáo thuyết minh bản đồ khuyến cáo bón phân cân đối </v>
      </c>
      <c r="C92" s="232" t="str">
        <f>'Biểu 01'!N94</f>
        <v>Nhóm 3 (1KTV6, 2KS3)</v>
      </c>
      <c r="D92" s="247">
        <f>'Biểu 01'!O94</f>
        <v>0</v>
      </c>
      <c r="E92" s="240"/>
      <c r="F92" s="248">
        <f>'Biểu 01'!Q94</f>
        <v>984789</v>
      </c>
      <c r="G92" s="241"/>
      <c r="H92" s="247">
        <f>'Biểu 01'!S94</f>
        <v>0.93735480000000004</v>
      </c>
      <c r="I92" s="247">
        <f>'Biểu 01'!T94</f>
        <v>1.0138088814763606</v>
      </c>
      <c r="J92" s="247">
        <f>'Biểu 01'!U94</f>
        <v>1.05</v>
      </c>
      <c r="K92" s="250">
        <f>'Biểu 01'!W94</f>
        <v>0</v>
      </c>
      <c r="L92" s="247"/>
      <c r="M92" s="250">
        <f t="shared" si="1"/>
        <v>0</v>
      </c>
    </row>
    <row r="93" spans="1:13" ht="108" x14ac:dyDescent="0.2">
      <c r="A93" s="274" t="str">
        <f>'Biểu 01'!A95</f>
        <v>5.5</v>
      </c>
      <c r="B93" s="282" t="str">
        <f>'Biểu 01'!B95</f>
        <v>Tách bản đồ khuyến cáo bón phân toàn vùng thành bản đồ khuyến cáo bón phân cấp huyện để xây dựng chú dẫn và biên tập bản đồ cấp huyện tỷ lệ 1:25.000</v>
      </c>
      <c r="C93" s="274">
        <f>'Biểu 01'!N95</f>
        <v>0</v>
      </c>
      <c r="D93" s="283">
        <f>'Biểu 01'!O95</f>
        <v>0</v>
      </c>
      <c r="E93" s="284"/>
      <c r="F93" s="285">
        <f>'Biểu 01'!Q95</f>
        <v>0</v>
      </c>
      <c r="G93" s="286"/>
      <c r="H93" s="283">
        <f>'Biểu 01'!S95</f>
        <v>0</v>
      </c>
      <c r="I93" s="283">
        <f>'Biểu 01'!T95</f>
        <v>0</v>
      </c>
      <c r="J93" s="283">
        <f>'Biểu 01'!U95</f>
        <v>0</v>
      </c>
      <c r="K93" s="279">
        <f>'Biểu 01'!W95</f>
        <v>99552215.373301625</v>
      </c>
      <c r="L93" s="283"/>
      <c r="M93" s="279">
        <f>SUM(K93:L93)</f>
        <v>99552215.373301625</v>
      </c>
    </row>
    <row r="94" spans="1:13" ht="51" x14ac:dyDescent="0.2">
      <c r="A94" s="276" t="str">
        <f>'Biểu 01'!A96</f>
        <v>-</v>
      </c>
      <c r="B94" s="287" t="str">
        <f>'Biểu 01'!B96</f>
        <v>Xây dựng hệ thống chú dẫn và biên tập bản đồ khuyến cáo bón phân cấp huyện (17 huyện)</v>
      </c>
      <c r="C94" s="276" t="str">
        <f>'Biểu 01'!N96</f>
        <v>Nhóm 3 (1KTV6, 2KS3)</v>
      </c>
      <c r="D94" s="288">
        <f>'Biểu 01'!O96</f>
        <v>0</v>
      </c>
      <c r="E94" s="277"/>
      <c r="F94" s="289">
        <f>'Biểu 01'!Q96</f>
        <v>1036350</v>
      </c>
      <c r="G94" s="278"/>
      <c r="H94" s="288">
        <f>'Biểu 01'!S96</f>
        <v>0.9</v>
      </c>
      <c r="I94" s="288">
        <f>'Biểu 01'!T96</f>
        <v>1.0138088814763606</v>
      </c>
      <c r="J94" s="288">
        <f>'Biểu 01'!U96</f>
        <v>0.94</v>
      </c>
      <c r="K94" s="281">
        <f>'Biểu 01'!W96</f>
        <v>0</v>
      </c>
      <c r="L94" s="288"/>
      <c r="M94" s="281">
        <f>SUM(K94:L94)</f>
        <v>0</v>
      </c>
    </row>
    <row r="95" spans="1:13" ht="63.75" x14ac:dyDescent="0.2">
      <c r="A95" s="276" t="str">
        <f>'Biểu 01'!A97</f>
        <v>-</v>
      </c>
      <c r="B95" s="287" t="str">
        <f>'Biểu 01'!B97</f>
        <v>In bản đồ và xây dựng báo cáo thuyết minh bản đồ khuyến cáo bón phân cho 16 huyện, thị xã, thành phố</v>
      </c>
      <c r="C95" s="276" t="str">
        <f>'Biểu 01'!N97</f>
        <v>Nhóm 3 (1KTV6, 2KS3)</v>
      </c>
      <c r="D95" s="288">
        <f>'Biểu 01'!O97</f>
        <v>112</v>
      </c>
      <c r="E95" s="277"/>
      <c r="F95" s="289">
        <f>'Biểu 01'!Q97</f>
        <v>1036350</v>
      </c>
      <c r="G95" s="278"/>
      <c r="H95" s="288">
        <f>'Biểu 01'!S97</f>
        <v>0.9</v>
      </c>
      <c r="I95" s="288">
        <f>'Biểu 01'!T97</f>
        <v>1.0138088814763606</v>
      </c>
      <c r="J95" s="288">
        <f>'Biểu 01'!U97</f>
        <v>0.94</v>
      </c>
      <c r="K95" s="281">
        <f>'Biểu 01'!W97</f>
        <v>99552215.373301625</v>
      </c>
      <c r="L95" s="288"/>
      <c r="M95" s="281">
        <f>SUM(K95:L95)</f>
        <v>99552215.373301625</v>
      </c>
    </row>
    <row r="96" spans="1:13" ht="102" x14ac:dyDescent="0.2">
      <c r="A96" s="233" t="s">
        <v>144</v>
      </c>
      <c r="B96" s="239" t="s">
        <v>569</v>
      </c>
      <c r="C96" s="254"/>
      <c r="D96" s="236"/>
      <c r="E96" s="236"/>
      <c r="F96" s="255"/>
      <c r="G96" s="255"/>
      <c r="H96" s="255"/>
      <c r="I96" s="255"/>
      <c r="J96" s="255"/>
      <c r="K96" s="238">
        <f>SUM(K97:K98)</f>
        <v>968369000.56650007</v>
      </c>
      <c r="L96" s="237"/>
      <c r="M96" s="238">
        <f t="shared" si="1"/>
        <v>968369000.56650007</v>
      </c>
    </row>
    <row r="97" spans="1:13" ht="67.5" x14ac:dyDescent="0.2">
      <c r="A97" s="263" t="s">
        <v>145</v>
      </c>
      <c r="B97" s="243" t="s">
        <v>556</v>
      </c>
      <c r="C97" s="254"/>
      <c r="D97" s="236"/>
      <c r="E97" s="236"/>
      <c r="F97" s="255"/>
      <c r="G97" s="255"/>
      <c r="H97" s="255"/>
      <c r="I97" s="255"/>
      <c r="J97" s="255"/>
      <c r="K97" s="245">
        <f>'Biểu 02'!AH7</f>
        <v>968369000.56650007</v>
      </c>
      <c r="L97" s="237"/>
      <c r="M97" s="245">
        <f t="shared" si="1"/>
        <v>968369000.56650007</v>
      </c>
    </row>
    <row r="98" spans="1:13" ht="54" x14ac:dyDescent="0.2">
      <c r="A98" s="263" t="s">
        <v>146</v>
      </c>
      <c r="B98" s="243" t="s">
        <v>35</v>
      </c>
      <c r="C98" s="254"/>
      <c r="D98" s="236"/>
      <c r="E98" s="236"/>
      <c r="F98" s="255"/>
      <c r="G98" s="255"/>
      <c r="H98" s="255"/>
      <c r="I98" s="255"/>
      <c r="J98" s="255"/>
      <c r="K98" s="244" t="s">
        <v>131</v>
      </c>
      <c r="L98" s="237"/>
      <c r="M98" s="268">
        <f t="shared" si="1"/>
        <v>0</v>
      </c>
    </row>
    <row r="99" spans="1:13" ht="38.25" x14ac:dyDescent="0.2">
      <c r="A99" s="233" t="s">
        <v>557</v>
      </c>
      <c r="B99" s="239" t="str">
        <f>'Biểu 01'!B98</f>
        <v>Xây dựng báo cáo tổng hợp và báo cáo tổng kết nhiệm vụ</v>
      </c>
      <c r="C99" s="232"/>
      <c r="D99" s="236"/>
      <c r="E99" s="236"/>
      <c r="F99" s="255"/>
      <c r="G99" s="255"/>
      <c r="H99" s="255"/>
      <c r="I99" s="255"/>
      <c r="J99" s="255"/>
      <c r="K99" s="238">
        <f>'Biểu 01'!W98</f>
        <v>94996261.522311583</v>
      </c>
      <c r="L99" s="249"/>
      <c r="M99" s="238">
        <f t="shared" si="1"/>
        <v>94996261.522311583</v>
      </c>
    </row>
    <row r="100" spans="1:13" ht="38.25" x14ac:dyDescent="0.2">
      <c r="A100" s="232" t="s">
        <v>558</v>
      </c>
      <c r="B100" s="246" t="str">
        <f>'Biểu 01'!B99</f>
        <v xml:space="preserve">Xây dựng các phụ lục, bản đồ thu nhỏ đính kèm báo cáo </v>
      </c>
      <c r="C100" s="232" t="str">
        <f>'Biểu 01'!N99</f>
        <v>Nhóm 2 (1KS4, 1KS6)</v>
      </c>
      <c r="D100" s="247">
        <f>'Biểu 01'!O99</f>
        <v>55</v>
      </c>
      <c r="E100" s="236"/>
      <c r="F100" s="248">
        <f>'Biểu 01'!Q99</f>
        <v>813618</v>
      </c>
      <c r="G100" s="255"/>
      <c r="H100" s="252">
        <f>'Biểu 01'!S99</f>
        <v>0.93735480000000004</v>
      </c>
      <c r="I100" s="252">
        <f>'Biểu 01'!T99</f>
        <v>1.0138088814763606</v>
      </c>
      <c r="J100" s="252">
        <f>'Biểu 01'!U99</f>
        <v>1.05</v>
      </c>
      <c r="K100" s="250">
        <f>'Biểu 01'!W99</f>
        <v>44651148.678266793</v>
      </c>
      <c r="L100" s="247"/>
      <c r="M100" s="250">
        <f t="shared" si="1"/>
        <v>44651148.678266793</v>
      </c>
    </row>
    <row r="101" spans="1:13" ht="51" x14ac:dyDescent="0.2">
      <c r="A101" s="232" t="s">
        <v>559</v>
      </c>
      <c r="B101" s="246" t="str">
        <f>'Biểu 01'!B100</f>
        <v>Biên soạn báo cáo tổng hợp kết quả điều tra, đánh giá</v>
      </c>
      <c r="C101" s="232" t="str">
        <f>'Biểu 01'!N100</f>
        <v>Nhóm 3 (1KS4, 1KS6, 1KSC2)</v>
      </c>
      <c r="D101" s="247">
        <f>'Biểu 01'!O100</f>
        <v>20</v>
      </c>
      <c r="E101" s="236"/>
      <c r="F101" s="248">
        <f>'Biểu 01'!Q100</f>
        <v>1340469</v>
      </c>
      <c r="G101" s="255"/>
      <c r="H101" s="252">
        <f>'Biểu 01'!S100</f>
        <v>0.93735480000000004</v>
      </c>
      <c r="I101" s="252">
        <f>'Biểu 01'!T100</f>
        <v>1.0138088814763606</v>
      </c>
      <c r="J101" s="252">
        <f>'Biểu 01'!U100</f>
        <v>1.05</v>
      </c>
      <c r="K101" s="250">
        <f>'Biểu 01'!W100</f>
        <v>26750762.695474293</v>
      </c>
      <c r="L101" s="247"/>
      <c r="M101" s="250">
        <f t="shared" si="1"/>
        <v>26750762.695474293</v>
      </c>
    </row>
    <row r="102" spans="1:13" ht="38.25" x14ac:dyDescent="0.2">
      <c r="A102" s="232" t="s">
        <v>560</v>
      </c>
      <c r="B102" s="246" t="str">
        <f>'Biểu 01'!B101</f>
        <v>Nhân sao tài liệu, tổ chức hội thảo</v>
      </c>
      <c r="C102" s="232" t="str">
        <f>'Biểu 01'!N101</f>
        <v>Nhóm 2 (1KTV6, 1KS3)</v>
      </c>
      <c r="D102" s="247">
        <f>'Biểu 01'!O101</f>
        <v>2</v>
      </c>
      <c r="E102" s="236"/>
      <c r="F102" s="248">
        <f>'Biểu 01'!Q101</f>
        <v>651339</v>
      </c>
      <c r="G102" s="255"/>
      <c r="H102" s="252">
        <f>'Biểu 01'!S101</f>
        <v>0.93735480000000004</v>
      </c>
      <c r="I102" s="252">
        <f>'Biểu 01'!T101</f>
        <v>1.0138088814763606</v>
      </c>
      <c r="J102" s="252">
        <f>'Biểu 01'!U101</f>
        <v>1.05</v>
      </c>
      <c r="K102" s="250">
        <f>'Biểu 01'!W101</f>
        <v>1299829.7628149199</v>
      </c>
      <c r="L102" s="247"/>
      <c r="M102" s="250">
        <f t="shared" si="1"/>
        <v>1299829.7628149199</v>
      </c>
    </row>
    <row r="103" spans="1:13" ht="38.25" x14ac:dyDescent="0.2">
      <c r="A103" s="232" t="s">
        <v>561</v>
      </c>
      <c r="B103" s="246" t="str">
        <f>'Biểu 01'!B102</f>
        <v>Hoàn chỉnh tài liệu điều tra, đánh giá</v>
      </c>
      <c r="C103" s="232" t="str">
        <f>'Biểu 01'!N102</f>
        <v>Nhóm 2 (1KS4, 1KS6)</v>
      </c>
      <c r="D103" s="247">
        <f>'Biểu 01'!O102</f>
        <v>10</v>
      </c>
      <c r="E103" s="236"/>
      <c r="F103" s="248">
        <f>'Biểu 01'!Q102</f>
        <v>813618</v>
      </c>
      <c r="G103" s="255"/>
      <c r="H103" s="252">
        <f>'Biểu 01'!S102</f>
        <v>0.93735480000000004</v>
      </c>
      <c r="I103" s="252">
        <f>'Biểu 01'!T102</f>
        <v>1.0138088814763606</v>
      </c>
      <c r="J103" s="252">
        <f>'Biểu 01'!U102</f>
        <v>1.05</v>
      </c>
      <c r="K103" s="250">
        <f>'Biểu 01'!W102</f>
        <v>8118390.6687757811</v>
      </c>
      <c r="L103" s="247"/>
      <c r="M103" s="250">
        <f t="shared" si="1"/>
        <v>8118390.6687757811</v>
      </c>
    </row>
    <row r="104" spans="1:13" ht="38.25" x14ac:dyDescent="0.2">
      <c r="A104" s="232" t="s">
        <v>562</v>
      </c>
      <c r="B104" s="246" t="str">
        <f>'Biểu 01'!B103</f>
        <v>Xây dựng báo cáo tóm tắt, báo cáo tổng kết</v>
      </c>
      <c r="C104" s="232" t="str">
        <f>'Biểu 01'!N103</f>
        <v>Nhóm 2 (1KS3, 1KSC2)</v>
      </c>
      <c r="D104" s="247">
        <f>'Biểu 01'!O103</f>
        <v>15</v>
      </c>
      <c r="E104" s="236"/>
      <c r="F104" s="248">
        <f>'Biểu 01'!Q103</f>
        <v>860301</v>
      </c>
      <c r="G104" s="255"/>
      <c r="H104" s="252">
        <f>'Biểu 01'!S103</f>
        <v>0.93735480000000004</v>
      </c>
      <c r="I104" s="252">
        <f>'Biểu 01'!T103</f>
        <v>1.0138088814763606</v>
      </c>
      <c r="J104" s="252">
        <f>'Biểu 01'!U103</f>
        <v>1.05</v>
      </c>
      <c r="K104" s="250">
        <f>'Biểu 01'!W103</f>
        <v>12876299.954164866</v>
      </c>
      <c r="L104" s="247"/>
      <c r="M104" s="250">
        <f t="shared" si="1"/>
        <v>12876299.954164866</v>
      </c>
    </row>
    <row r="105" spans="1:13" ht="38.25" x14ac:dyDescent="0.2">
      <c r="A105" s="232" t="s">
        <v>563</v>
      </c>
      <c r="B105" s="246" t="str">
        <f>'Biểu 01'!B104</f>
        <v>Phục vụ nghiệm thu và bàn giao kết quả</v>
      </c>
      <c r="C105" s="232" t="str">
        <f>'Biểu 01'!N104</f>
        <v>Nhóm 2 (1KTV6, 1KS3)</v>
      </c>
      <c r="D105" s="247">
        <f>'Biểu 01'!O104</f>
        <v>2</v>
      </c>
      <c r="E105" s="236"/>
      <c r="F105" s="248">
        <f>'Biểu 01'!Q104</f>
        <v>651339</v>
      </c>
      <c r="G105" s="255"/>
      <c r="H105" s="252">
        <f>'Biểu 01'!S104</f>
        <v>0.93735480000000004</v>
      </c>
      <c r="I105" s="252">
        <f>'Biểu 01'!T104</f>
        <v>1.0138088814763606</v>
      </c>
      <c r="J105" s="252">
        <f>'Biểu 01'!U104</f>
        <v>1.05</v>
      </c>
      <c r="K105" s="250">
        <f>'Biểu 01'!W104</f>
        <v>1299829.7628149199</v>
      </c>
      <c r="L105" s="247"/>
      <c r="M105" s="250">
        <f t="shared" si="1"/>
        <v>1299829.7628149199</v>
      </c>
    </row>
    <row r="106" spans="1:13" ht="38.25" x14ac:dyDescent="0.2">
      <c r="A106" s="233">
        <v>2</v>
      </c>
      <c r="B106" s="239" t="str">
        <f>'Biểu 03'!B4</f>
        <v>Thuê xe đi điều tra khảo sát và Công tác phí</v>
      </c>
      <c r="C106" s="232"/>
      <c r="D106" s="236"/>
      <c r="E106" s="236"/>
      <c r="F106" s="255"/>
      <c r="G106" s="255"/>
      <c r="H106" s="255"/>
      <c r="I106" s="255"/>
      <c r="J106" s="255"/>
      <c r="K106" s="237"/>
      <c r="L106" s="238">
        <f>'Biểu 03'!F4</f>
        <v>2002600000</v>
      </c>
      <c r="M106" s="238">
        <f t="shared" si="1"/>
        <v>2002600000</v>
      </c>
    </row>
    <row r="107" spans="1:13" ht="13.5" x14ac:dyDescent="0.2">
      <c r="A107" s="242" t="s">
        <v>145</v>
      </c>
      <c r="B107" s="243">
        <f>'Biểu 03'!B5</f>
        <v>0</v>
      </c>
      <c r="C107" s="256"/>
      <c r="D107" s="236"/>
      <c r="E107" s="236"/>
      <c r="F107" s="255"/>
      <c r="G107" s="255"/>
      <c r="H107" s="255"/>
      <c r="I107" s="255"/>
      <c r="J107" s="255"/>
      <c r="K107" s="237"/>
      <c r="L107" s="245">
        <f>'Biểu 03'!F5</f>
        <v>418200000</v>
      </c>
      <c r="M107" s="245">
        <f t="shared" si="1"/>
        <v>418200000</v>
      </c>
    </row>
    <row r="108" spans="1:13" ht="76.5" x14ac:dyDescent="0.2">
      <c r="A108" s="256" t="s">
        <v>131</v>
      </c>
      <c r="B108" s="246" t="str">
        <f>'Biểu 03'!B6</f>
        <v>Phụ cấp lưu trú (bằng số công ngoại nghiệp tại Biểu 01 tương đương 24 người x 11 ngày/huyện x 16 huyện)</v>
      </c>
      <c r="C108" s="247" t="str">
        <f>'Biểu 03'!C6</f>
        <v>Ngày</v>
      </c>
      <c r="D108" s="236"/>
      <c r="E108" s="247">
        <f>'Biểu 03'!D6</f>
        <v>408</v>
      </c>
      <c r="F108" s="255"/>
      <c r="G108" s="248">
        <f>'Biểu 03'!E6</f>
        <v>200000</v>
      </c>
      <c r="H108" s="255"/>
      <c r="I108" s="255"/>
      <c r="J108" s="255"/>
      <c r="K108" s="237"/>
      <c r="L108" s="250">
        <f>'Biểu 03'!F6</f>
        <v>81600000</v>
      </c>
      <c r="M108" s="250">
        <f t="shared" si="1"/>
        <v>81600000</v>
      </c>
    </row>
    <row r="109" spans="1:13" ht="38.25" x14ac:dyDescent="0.2">
      <c r="A109" s="256" t="s">
        <v>131</v>
      </c>
      <c r="B109" s="246" t="str">
        <f>'Biểu 03'!B7</f>
        <v>Khoán ngủ tại địa phương (24 người x 10 đêm/huyện x 16 huyện)</v>
      </c>
      <c r="C109" s="247" t="str">
        <f>'Biểu 03'!C7</f>
        <v>Đêm</v>
      </c>
      <c r="D109" s="236"/>
      <c r="E109" s="247">
        <f>'Biểu 03'!D7</f>
        <v>272</v>
      </c>
      <c r="F109" s="255"/>
      <c r="G109" s="248">
        <f>'Biểu 03'!E7</f>
        <v>300000</v>
      </c>
      <c r="H109" s="255"/>
      <c r="I109" s="255"/>
      <c r="J109" s="255"/>
      <c r="K109" s="237"/>
      <c r="L109" s="250">
        <f>'Biểu 03'!F7</f>
        <v>81600000</v>
      </c>
      <c r="M109" s="250">
        <f t="shared" si="1"/>
        <v>81600000</v>
      </c>
    </row>
    <row r="110" spans="1:13" ht="51" x14ac:dyDescent="0.2">
      <c r="A110" s="256" t="s">
        <v>131</v>
      </c>
      <c r="B110" s="246" t="str">
        <f>'Biểu 03'!B8</f>
        <v>Thuê xe đi lại (4 xe 7 chỗ để chở 6 người/xe x 05 ngày/ huyện x 16 huyện)</v>
      </c>
      <c r="C110" s="247" t="str">
        <f>'Biểu 03'!C8</f>
        <v>Ngày</v>
      </c>
      <c r="D110" s="236"/>
      <c r="E110" s="250">
        <f>'Biểu 03'!D8</f>
        <v>102</v>
      </c>
      <c r="F110" s="255"/>
      <c r="G110" s="248">
        <f>'Biểu 03'!E8</f>
        <v>2500000</v>
      </c>
      <c r="H110" s="255"/>
      <c r="I110" s="255"/>
      <c r="J110" s="255"/>
      <c r="K110" s="237"/>
      <c r="L110" s="250">
        <f>'Biểu 03'!F8</f>
        <v>255000000</v>
      </c>
      <c r="M110" s="250">
        <f t="shared" si="1"/>
        <v>255000000</v>
      </c>
    </row>
    <row r="111" spans="1:13" ht="13.5" x14ac:dyDescent="0.2">
      <c r="A111" s="242" t="s">
        <v>146</v>
      </c>
      <c r="B111" s="243">
        <f>'Biểu 03'!B9</f>
        <v>0</v>
      </c>
      <c r="C111" s="236">
        <f>'Biểu 03'!C9</f>
        <v>0</v>
      </c>
      <c r="D111" s="236"/>
      <c r="E111" s="236">
        <f>'Biểu 03'!D9</f>
        <v>0</v>
      </c>
      <c r="F111" s="255"/>
      <c r="G111" s="255">
        <f>'Biểu 03'!E9</f>
        <v>0</v>
      </c>
      <c r="H111" s="255"/>
      <c r="I111" s="255"/>
      <c r="J111" s="255"/>
      <c r="K111" s="237"/>
      <c r="L111" s="245">
        <f>'Biểu 03'!F9</f>
        <v>1584400000</v>
      </c>
      <c r="M111" s="245">
        <f t="shared" si="1"/>
        <v>1584400000</v>
      </c>
    </row>
    <row r="112" spans="1:13" ht="38.25" x14ac:dyDescent="0.2">
      <c r="A112" s="256" t="s">
        <v>131</v>
      </c>
      <c r="B112" s="246" t="str">
        <f>'Biểu 03'!B10</f>
        <v>Phụ cấp lưu trú (16 người x 6 ngày/huyện x 17 huyện)</v>
      </c>
      <c r="C112" s="247" t="str">
        <f>'Biểu 03'!C10</f>
        <v>Ngày</v>
      </c>
      <c r="D112" s="236"/>
      <c r="E112" s="250">
        <f>'Biểu 03'!D10</f>
        <v>1632</v>
      </c>
      <c r="F112" s="255"/>
      <c r="G112" s="248">
        <f>'Biểu 03'!E10</f>
        <v>200000</v>
      </c>
      <c r="H112" s="255"/>
      <c r="I112" s="255"/>
      <c r="J112" s="255"/>
      <c r="K112" s="237"/>
      <c r="L112" s="250">
        <f>'Biểu 03'!F10</f>
        <v>326400000</v>
      </c>
      <c r="M112" s="250">
        <f t="shared" si="1"/>
        <v>326400000</v>
      </c>
    </row>
    <row r="113" spans="1:13" ht="38.25" x14ac:dyDescent="0.2">
      <c r="A113" s="256" t="s">
        <v>131</v>
      </c>
      <c r="B113" s="246" t="str">
        <f>'Biểu 03'!B11</f>
        <v>Khoán ngủ tại địa phương (16 người x 5 đêm/huyện x 17 huyện)</v>
      </c>
      <c r="C113" s="247" t="str">
        <f>'Biểu 03'!C11</f>
        <v>Đêm</v>
      </c>
      <c r="D113" s="236"/>
      <c r="E113" s="250">
        <f>'Biểu 03'!D11</f>
        <v>1360</v>
      </c>
      <c r="F113" s="255"/>
      <c r="G113" s="248">
        <f>'Biểu 03'!E11</f>
        <v>300000</v>
      </c>
      <c r="H113" s="255"/>
      <c r="I113" s="255"/>
      <c r="J113" s="255"/>
      <c r="K113" s="237"/>
      <c r="L113" s="250">
        <f>'Biểu 03'!F11</f>
        <v>408000000</v>
      </c>
      <c r="M113" s="250">
        <f t="shared" si="1"/>
        <v>408000000</v>
      </c>
    </row>
    <row r="114" spans="1:13" x14ac:dyDescent="0.2">
      <c r="A114" s="256" t="s">
        <v>131</v>
      </c>
      <c r="B114" s="246" t="str">
        <f>'Biểu 03'!B12</f>
        <v>Chi phí đi lại</v>
      </c>
      <c r="C114" s="247" t="str">
        <f>'Biểu 03'!C12</f>
        <v>Ngày</v>
      </c>
      <c r="D114" s="236"/>
      <c r="E114" s="250">
        <f>'Biểu 03'!D12</f>
        <v>340</v>
      </c>
      <c r="F114" s="255"/>
      <c r="G114" s="248">
        <f>'Biểu 03'!E12</f>
        <v>2500000</v>
      </c>
      <c r="H114" s="255"/>
      <c r="I114" s="255"/>
      <c r="J114" s="255"/>
      <c r="K114" s="237"/>
      <c r="L114" s="250">
        <f>'Biểu 03'!F12</f>
        <v>850000000</v>
      </c>
      <c r="M114" s="250">
        <f t="shared" si="1"/>
        <v>850000000</v>
      </c>
    </row>
    <row r="115" spans="1:13" ht="63.75" x14ac:dyDescent="0.2">
      <c r="A115" s="233">
        <v>3</v>
      </c>
      <c r="B115" s="239" t="str">
        <f>'Biểu 03'!B13</f>
        <v>Chi phí phân tích mẫu đất (vận dụng 60% đơn giá theo các Quyết định về định mức giá phân tích mẫu)</v>
      </c>
      <c r="C115" s="254"/>
      <c r="D115" s="236"/>
      <c r="E115" s="236"/>
      <c r="F115" s="255"/>
      <c r="G115" s="255"/>
      <c r="H115" s="255"/>
      <c r="I115" s="255"/>
      <c r="J115" s="255"/>
      <c r="K115" s="238">
        <f>'Biểu 03'!F13</f>
        <v>15103134000</v>
      </c>
      <c r="L115" s="237"/>
      <c r="M115" s="238">
        <f t="shared" si="1"/>
        <v>15103134000</v>
      </c>
    </row>
    <row r="116" spans="1:13" x14ac:dyDescent="0.2">
      <c r="A116" s="232" t="s">
        <v>131</v>
      </c>
      <c r="B116" s="246" t="str">
        <f>'Biểu 03'!B14</f>
        <v>OM%</v>
      </c>
      <c r="C116" s="232" t="str">
        <f>'Biểu 03'!C14</f>
        <v>mẫu</v>
      </c>
      <c r="D116" s="250">
        <f>'Biểu 03'!D14</f>
        <v>10986</v>
      </c>
      <c r="E116" s="236"/>
      <c r="F116" s="248">
        <f>'Biểu 03'!E14</f>
        <v>245000</v>
      </c>
      <c r="G116" s="255"/>
      <c r="H116" s="255"/>
      <c r="I116" s="255"/>
      <c r="J116" s="255"/>
      <c r="K116" s="250">
        <f>'Biểu 03'!F14</f>
        <v>2691570000</v>
      </c>
      <c r="L116" s="237"/>
      <c r="M116" s="250">
        <f t="shared" si="1"/>
        <v>2691570000</v>
      </c>
    </row>
    <row r="117" spans="1:13" x14ac:dyDescent="0.2">
      <c r="A117" s="232" t="s">
        <v>131</v>
      </c>
      <c r="B117" s="246" t="str">
        <f>'Biểu 03'!B15</f>
        <v>pHKCL</v>
      </c>
      <c r="C117" s="232" t="str">
        <f>'Biểu 03'!C15</f>
        <v>mẫu</v>
      </c>
      <c r="D117" s="250">
        <f>'Biểu 03'!D15</f>
        <v>10986</v>
      </c>
      <c r="E117" s="236"/>
      <c r="F117" s="248">
        <f>'Biểu 03'!E15</f>
        <v>86000</v>
      </c>
      <c r="G117" s="255"/>
      <c r="H117" s="255"/>
      <c r="I117" s="255"/>
      <c r="J117" s="255"/>
      <c r="K117" s="250">
        <f>'Biểu 03'!F15</f>
        <v>944796000</v>
      </c>
      <c r="L117" s="237"/>
      <c r="M117" s="250">
        <f t="shared" si="1"/>
        <v>944796000</v>
      </c>
    </row>
    <row r="118" spans="1:13" x14ac:dyDescent="0.2">
      <c r="A118" s="232" t="s">
        <v>131</v>
      </c>
      <c r="B118" s="246" t="str">
        <f>'Biểu 03'!B16</f>
        <v>N tổng số</v>
      </c>
      <c r="C118" s="232" t="str">
        <f>'Biểu 03'!C16</f>
        <v>mẫu</v>
      </c>
      <c r="D118" s="250">
        <f>'Biểu 03'!D16</f>
        <v>10986</v>
      </c>
      <c r="E118" s="236"/>
      <c r="F118" s="248">
        <f>'Biểu 03'!E16</f>
        <v>155000</v>
      </c>
      <c r="G118" s="255"/>
      <c r="H118" s="255"/>
      <c r="I118" s="255"/>
      <c r="J118" s="255"/>
      <c r="K118" s="250">
        <f>'Biểu 03'!F16</f>
        <v>1702830000</v>
      </c>
      <c r="L118" s="237"/>
      <c r="M118" s="250">
        <f t="shared" si="1"/>
        <v>1702830000</v>
      </c>
    </row>
    <row r="119" spans="1:13" x14ac:dyDescent="0.2">
      <c r="A119" s="232" t="s">
        <v>131</v>
      </c>
      <c r="B119" s="246" t="str">
        <f>'Biểu 03'!B17</f>
        <v>P2O5 tổng số</v>
      </c>
      <c r="C119" s="232" t="str">
        <f>'Biểu 03'!C17</f>
        <v>mẫu</v>
      </c>
      <c r="D119" s="250">
        <f>'Biểu 03'!D17</f>
        <v>10986</v>
      </c>
      <c r="E119" s="236"/>
      <c r="F119" s="248">
        <f>'Biểu 03'!E17</f>
        <v>158000</v>
      </c>
      <c r="G119" s="255"/>
      <c r="H119" s="236"/>
      <c r="I119" s="236"/>
      <c r="J119" s="236"/>
      <c r="K119" s="250">
        <f>'Biểu 03'!F17</f>
        <v>1735788000</v>
      </c>
      <c r="L119" s="236"/>
      <c r="M119" s="250">
        <f t="shared" si="1"/>
        <v>1735788000</v>
      </c>
    </row>
    <row r="120" spans="1:13" x14ac:dyDescent="0.2">
      <c r="A120" s="232" t="s">
        <v>131</v>
      </c>
      <c r="B120" s="246" t="str">
        <f>'Biểu 03'!B18</f>
        <v>K2O tổng số</v>
      </c>
      <c r="C120" s="232" t="str">
        <f>'Biểu 03'!C18</f>
        <v>mẫu</v>
      </c>
      <c r="D120" s="250">
        <f>'Biểu 03'!D18</f>
        <v>10986</v>
      </c>
      <c r="E120" s="236"/>
      <c r="F120" s="248">
        <f>'Biểu 03'!E18</f>
        <v>165000</v>
      </c>
      <c r="G120" s="255"/>
      <c r="H120" s="236"/>
      <c r="I120" s="236"/>
      <c r="J120" s="236"/>
      <c r="K120" s="250">
        <f>'Biểu 03'!F18</f>
        <v>1812690000</v>
      </c>
      <c r="L120" s="236"/>
      <c r="M120" s="250">
        <f t="shared" si="1"/>
        <v>1812690000</v>
      </c>
    </row>
    <row r="121" spans="1:13" x14ac:dyDescent="0.2">
      <c r="A121" s="232" t="s">
        <v>131</v>
      </c>
      <c r="B121" s="246" t="str">
        <f>'Biểu 03'!B19</f>
        <v>P2O5 dễ tiêu</v>
      </c>
      <c r="C121" s="232" t="str">
        <f>'Biểu 03'!C19</f>
        <v>mẫu</v>
      </c>
      <c r="D121" s="250">
        <f>'Biểu 03'!D19</f>
        <v>10986</v>
      </c>
      <c r="E121" s="236"/>
      <c r="F121" s="248">
        <f>'Biểu 03'!E19</f>
        <v>130000</v>
      </c>
      <c r="G121" s="255"/>
      <c r="H121" s="236"/>
      <c r="I121" s="236"/>
      <c r="J121" s="236"/>
      <c r="K121" s="250">
        <f>'Biểu 03'!F19</f>
        <v>1428180000</v>
      </c>
      <c r="L121" s="236"/>
      <c r="M121" s="250">
        <f t="shared" si="1"/>
        <v>1428180000</v>
      </c>
    </row>
    <row r="122" spans="1:13" x14ac:dyDescent="0.2">
      <c r="A122" s="232" t="s">
        <v>131</v>
      </c>
      <c r="B122" s="246" t="str">
        <f>'Biểu 03'!B20</f>
        <v>K2O dễ tiêu</v>
      </c>
      <c r="C122" s="232" t="str">
        <f>'Biểu 03'!C20</f>
        <v>mẫu</v>
      </c>
      <c r="D122" s="250">
        <f>'Biểu 03'!D20</f>
        <v>10986</v>
      </c>
      <c r="E122" s="236"/>
      <c r="F122" s="248">
        <f>'Biểu 03'!E20</f>
        <v>140000</v>
      </c>
      <c r="G122" s="255"/>
      <c r="H122" s="236"/>
      <c r="I122" s="236"/>
      <c r="J122" s="236"/>
      <c r="K122" s="250">
        <f>'Biểu 03'!F20</f>
        <v>1538040000</v>
      </c>
      <c r="L122" s="236"/>
      <c r="M122" s="250">
        <f t="shared" si="1"/>
        <v>1538040000</v>
      </c>
    </row>
    <row r="123" spans="1:13" ht="25.5" x14ac:dyDescent="0.2">
      <c r="A123" s="232" t="s">
        <v>131</v>
      </c>
      <c r="B123" s="246" t="str">
        <f>'Biểu 03'!B21</f>
        <v>Dung tích hấp thu trong đất (CEC)</v>
      </c>
      <c r="C123" s="232" t="str">
        <f>'Biểu 03'!C21</f>
        <v>mẫu</v>
      </c>
      <c r="D123" s="250">
        <f>'Biểu 03'!D21</f>
        <v>10986</v>
      </c>
      <c r="E123" s="236"/>
      <c r="F123" s="248">
        <f>'Biểu 03'!E21</f>
        <v>140000</v>
      </c>
      <c r="G123" s="255"/>
      <c r="H123" s="236"/>
      <c r="I123" s="236"/>
      <c r="J123" s="236"/>
      <c r="K123" s="250">
        <f>'Biểu 03'!F21</f>
        <v>1538040000</v>
      </c>
      <c r="L123" s="236"/>
      <c r="M123" s="250">
        <f t="shared" si="1"/>
        <v>1538040000</v>
      </c>
    </row>
    <row r="124" spans="1:13" x14ac:dyDescent="0.2">
      <c r="A124" s="232" t="s">
        <v>131</v>
      </c>
      <c r="B124" s="246" t="str">
        <f>'Biểu 03'!B22</f>
        <v>Ca2+ trao đổi</v>
      </c>
      <c r="C124" s="232" t="str">
        <f>'Biểu 03'!C22</f>
        <v>mẫu</v>
      </c>
      <c r="D124" s="247">
        <f>'Biểu 03'!D22</f>
        <v>960</v>
      </c>
      <c r="E124" s="236"/>
      <c r="F124" s="248">
        <f>'Biểu 03'!E22</f>
        <v>130000</v>
      </c>
      <c r="G124" s="255"/>
      <c r="H124" s="236"/>
      <c r="I124" s="236"/>
      <c r="J124" s="236"/>
      <c r="K124" s="250">
        <f>'Biểu 03'!F22</f>
        <v>124800000</v>
      </c>
      <c r="L124" s="236"/>
      <c r="M124" s="250">
        <f t="shared" si="1"/>
        <v>124800000</v>
      </c>
    </row>
    <row r="125" spans="1:13" x14ac:dyDescent="0.2">
      <c r="A125" s="232" t="s">
        <v>131</v>
      </c>
      <c r="B125" s="246" t="str">
        <f>'Biểu 03'!B23</f>
        <v>Mg2+ trao đổi</v>
      </c>
      <c r="C125" s="232" t="str">
        <f>'Biểu 03'!C23</f>
        <v>mẫu</v>
      </c>
      <c r="D125" s="247">
        <f>'Biểu 03'!D23</f>
        <v>960</v>
      </c>
      <c r="E125" s="236"/>
      <c r="F125" s="248">
        <f>'Biểu 03'!E23</f>
        <v>12500</v>
      </c>
      <c r="G125" s="255"/>
      <c r="H125" s="236"/>
      <c r="I125" s="236"/>
      <c r="J125" s="236"/>
      <c r="K125" s="250">
        <f>'Biểu 03'!F23</f>
        <v>12000000</v>
      </c>
      <c r="L125" s="236"/>
      <c r="M125" s="250">
        <f t="shared" si="1"/>
        <v>12000000</v>
      </c>
    </row>
    <row r="126" spans="1:13" x14ac:dyDescent="0.2">
      <c r="A126" s="232" t="s">
        <v>131</v>
      </c>
      <c r="B126" s="246" t="str">
        <f>'Biểu 03'!B24</f>
        <v>Fe3+ trao đổi</v>
      </c>
      <c r="C126" s="232" t="str">
        <f>'Biểu 03'!C24</f>
        <v>mẫu</v>
      </c>
      <c r="D126" s="247">
        <f>'Biểu 03'!D24</f>
        <v>960</v>
      </c>
      <c r="E126" s="236"/>
      <c r="F126" s="248">
        <f>'Biểu 03'!E24</f>
        <v>95000</v>
      </c>
      <c r="G126" s="255"/>
      <c r="H126" s="236"/>
      <c r="I126" s="236"/>
      <c r="J126" s="236"/>
      <c r="K126" s="250">
        <f>'Biểu 03'!F24</f>
        <v>91200000</v>
      </c>
      <c r="L126" s="236"/>
      <c r="M126" s="250">
        <f t="shared" si="1"/>
        <v>91200000</v>
      </c>
    </row>
    <row r="127" spans="1:13" x14ac:dyDescent="0.2">
      <c r="A127" s="232" t="s">
        <v>131</v>
      </c>
      <c r="B127" s="246" t="str">
        <f>'Biểu 03'!B25</f>
        <v>Al3+ trao đổi</v>
      </c>
      <c r="C127" s="232" t="str">
        <f>'Biểu 03'!C25</f>
        <v>mẫu</v>
      </c>
      <c r="D127" s="247">
        <f>'Biểu 03'!D25</f>
        <v>960</v>
      </c>
      <c r="E127" s="236"/>
      <c r="F127" s="248">
        <f>'Biểu 03'!E25</f>
        <v>150000</v>
      </c>
      <c r="G127" s="255"/>
      <c r="H127" s="236"/>
      <c r="I127" s="236"/>
      <c r="J127" s="236"/>
      <c r="K127" s="250">
        <f>'Biểu 03'!F25</f>
        <v>144000000</v>
      </c>
      <c r="L127" s="236"/>
      <c r="M127" s="250">
        <f t="shared" si="1"/>
        <v>144000000</v>
      </c>
    </row>
    <row r="128" spans="1:13" x14ac:dyDescent="0.2">
      <c r="A128" s="232" t="s">
        <v>131</v>
      </c>
      <c r="B128" s="246" t="str">
        <f>'Biểu 03'!B26</f>
        <v>Si hòa tan</v>
      </c>
      <c r="C128" s="232" t="str">
        <f>'Biểu 03'!C26</f>
        <v>mẫu</v>
      </c>
      <c r="D128" s="247">
        <f>'Biểu 03'!D26</f>
        <v>960</v>
      </c>
      <c r="E128" s="236"/>
      <c r="F128" s="248">
        <f>'Biểu 03'!E26</f>
        <v>150000</v>
      </c>
      <c r="G128" s="255"/>
      <c r="H128" s="236"/>
      <c r="I128" s="236"/>
      <c r="J128" s="236"/>
      <c r="K128" s="250">
        <f>'Biểu 03'!F26</f>
        <v>144000000</v>
      </c>
      <c r="L128" s="236"/>
      <c r="M128" s="250">
        <f t="shared" si="1"/>
        <v>144000000</v>
      </c>
    </row>
    <row r="129" spans="1:13" x14ac:dyDescent="0.2">
      <c r="A129" s="232" t="s">
        <v>131</v>
      </c>
      <c r="B129" s="246" t="str">
        <f>'Biểu 03'!B27</f>
        <v>Cu dễ tiêu</v>
      </c>
      <c r="C129" s="232" t="str">
        <f>'Biểu 03'!C27</f>
        <v>mẫu</v>
      </c>
      <c r="D129" s="247">
        <f>'Biểu 03'!D27</f>
        <v>960</v>
      </c>
      <c r="E129" s="236"/>
      <c r="F129" s="248">
        <f>'Biểu 03'!E27</f>
        <v>265000</v>
      </c>
      <c r="G129" s="255"/>
      <c r="H129" s="236"/>
      <c r="I129" s="236"/>
      <c r="J129" s="236"/>
      <c r="K129" s="250">
        <f>'Biểu 03'!F27</f>
        <v>254400000</v>
      </c>
      <c r="L129" s="236"/>
      <c r="M129" s="250">
        <f t="shared" si="1"/>
        <v>254400000</v>
      </c>
    </row>
    <row r="130" spans="1:13" x14ac:dyDescent="0.2">
      <c r="A130" s="232" t="s">
        <v>131</v>
      </c>
      <c r="B130" s="246" t="str">
        <f>'Biểu 03'!B28</f>
        <v>Zn dễ tiêu</v>
      </c>
      <c r="C130" s="232" t="str">
        <f>'Biểu 03'!C28</f>
        <v>mẫu</v>
      </c>
      <c r="D130" s="247">
        <f>'Biểu 03'!D28</f>
        <v>960</v>
      </c>
      <c r="E130" s="236"/>
      <c r="F130" s="248">
        <f>'Biểu 03'!E28</f>
        <v>225000</v>
      </c>
      <c r="G130" s="255"/>
      <c r="H130" s="236"/>
      <c r="I130" s="236"/>
      <c r="J130" s="236"/>
      <c r="K130" s="250">
        <f>'Biểu 03'!F28</f>
        <v>216000000</v>
      </c>
      <c r="L130" s="236"/>
      <c r="M130" s="250">
        <f t="shared" si="1"/>
        <v>216000000</v>
      </c>
    </row>
    <row r="131" spans="1:13" x14ac:dyDescent="0.2">
      <c r="A131" s="232" t="s">
        <v>131</v>
      </c>
      <c r="B131" s="246" t="str">
        <f>'Biểu 03'!B29</f>
        <v>Mo dễ tiêu</v>
      </c>
      <c r="C131" s="232" t="str">
        <f>'Biểu 03'!C29</f>
        <v>mẫu</v>
      </c>
      <c r="D131" s="247">
        <f>'Biểu 03'!D29</f>
        <v>960</v>
      </c>
      <c r="E131" s="236"/>
      <c r="F131" s="248">
        <f>'Biểu 03'!E29</f>
        <v>225000</v>
      </c>
      <c r="G131" s="255"/>
      <c r="H131" s="236"/>
      <c r="I131" s="236"/>
      <c r="J131" s="236"/>
      <c r="K131" s="250">
        <f>'Biểu 03'!F29</f>
        <v>216000000</v>
      </c>
      <c r="L131" s="236"/>
      <c r="M131" s="250">
        <f t="shared" si="1"/>
        <v>216000000</v>
      </c>
    </row>
    <row r="132" spans="1:13" x14ac:dyDescent="0.2">
      <c r="A132" s="232" t="s">
        <v>131</v>
      </c>
      <c r="B132" s="246" t="str">
        <f>'Biểu 03'!B30</f>
        <v>Mn2+ trao đổi</v>
      </c>
      <c r="C132" s="232" t="str">
        <f>'Biểu 03'!C30</f>
        <v>mẫu</v>
      </c>
      <c r="D132" s="247">
        <f>'Biểu 03'!D30</f>
        <v>960</v>
      </c>
      <c r="E132" s="236"/>
      <c r="F132" s="248">
        <f>'Biểu 03'!E30</f>
        <v>265000</v>
      </c>
      <c r="G132" s="255"/>
      <c r="H132" s="236"/>
      <c r="I132" s="236"/>
      <c r="J132" s="236"/>
      <c r="K132" s="250">
        <f>'Biểu 03'!F30</f>
        <v>254400000</v>
      </c>
      <c r="L132" s="236"/>
      <c r="M132" s="250">
        <f t="shared" si="1"/>
        <v>254400000</v>
      </c>
    </row>
    <row r="133" spans="1:13" x14ac:dyDescent="0.2">
      <c r="A133" s="232" t="s">
        <v>131</v>
      </c>
      <c r="B133" s="246" t="str">
        <f>'Biểu 03'!B31</f>
        <v>B hòa tan</v>
      </c>
      <c r="C133" s="232" t="str">
        <f>'Biểu 03'!C31</f>
        <v>mẫu</v>
      </c>
      <c r="D133" s="247">
        <f>'Biểu 03'!D31</f>
        <v>960</v>
      </c>
      <c r="E133" s="236"/>
      <c r="F133" s="248">
        <f>'Biểu 03'!E31</f>
        <v>265000</v>
      </c>
      <c r="G133" s="255"/>
      <c r="H133" s="236"/>
      <c r="I133" s="236"/>
      <c r="J133" s="236"/>
      <c r="K133" s="250">
        <f>'Biểu 03'!F31</f>
        <v>254400000</v>
      </c>
      <c r="L133" s="236"/>
      <c r="M133" s="250">
        <f t="shared" si="1"/>
        <v>254400000</v>
      </c>
    </row>
    <row r="134" spans="1:13" ht="38.25" x14ac:dyDescent="0.2">
      <c r="A134" s="233">
        <v>4</v>
      </c>
      <c r="B134" s="239" t="str">
        <f>'Biểu 03'!B32</f>
        <v>Chi phí hội thảo, tập huấn, chuyển giao công nghệ</v>
      </c>
      <c r="C134" s="236"/>
      <c r="D134" s="236"/>
      <c r="E134" s="236"/>
      <c r="F134" s="255"/>
      <c r="G134" s="255"/>
      <c r="H134" s="236"/>
      <c r="I134" s="236"/>
      <c r="J134" s="236"/>
      <c r="K134" s="238">
        <f>'Biểu 03'!F32</f>
        <v>792650000</v>
      </c>
      <c r="L134" s="236"/>
      <c r="M134" s="238">
        <f t="shared" si="1"/>
        <v>792650000</v>
      </c>
    </row>
    <row r="135" spans="1:13" ht="135" x14ac:dyDescent="0.2">
      <c r="A135" s="242" t="s">
        <v>338</v>
      </c>
      <c r="B135" s="243" t="str">
        <f>'Biểu 03'!B33</f>
        <v>Hội thảo cấp huyện xin ý kiến về: "Xác định tính thích nghi của cây trồng, xây dựng phương án chuyển đổi cơ cấu cây trồng để đạt hiệu quả cao": 16 huyện x 01 hội thảo/huyện = 16 hội thảo.</v>
      </c>
      <c r="C135" s="236"/>
      <c r="D135" s="236"/>
      <c r="E135" s="236"/>
      <c r="F135" s="255"/>
      <c r="G135" s="255"/>
      <c r="H135" s="236"/>
      <c r="I135" s="236"/>
      <c r="J135" s="236"/>
      <c r="K135" s="245">
        <f>'Biểu 03'!F33</f>
        <v>473150000</v>
      </c>
      <c r="L135" s="236"/>
      <c r="M135" s="245">
        <f t="shared" si="1"/>
        <v>473150000</v>
      </c>
    </row>
    <row r="136" spans="1:13" x14ac:dyDescent="0.2">
      <c r="A136" s="233"/>
      <c r="B136" s="246" t="str">
        <f>'Biểu 03'!B35</f>
        <v>Chủ trì hội thảo</v>
      </c>
      <c r="C136" s="247" t="str">
        <f>'Biểu 03'!C35</f>
        <v>Buổi</v>
      </c>
      <c r="D136" s="247">
        <f>'Biểu 03'!D35</f>
        <v>17</v>
      </c>
      <c r="E136" s="236"/>
      <c r="F136" s="248">
        <f>'Biểu 03'!E35</f>
        <v>1600000</v>
      </c>
      <c r="G136" s="255"/>
      <c r="H136" s="236"/>
      <c r="I136" s="236"/>
      <c r="J136" s="236"/>
      <c r="K136" s="250">
        <f>'Biểu 03'!F35</f>
        <v>27200000</v>
      </c>
      <c r="L136" s="236"/>
      <c r="M136" s="250">
        <f t="shared" si="1"/>
        <v>27200000</v>
      </c>
    </row>
    <row r="137" spans="1:13" x14ac:dyDescent="0.2">
      <c r="A137" s="233"/>
      <c r="B137" s="246" t="str">
        <f>'Biểu 03'!B36</f>
        <v>Thư ký hội thảo</v>
      </c>
      <c r="C137" s="247" t="str">
        <f>'Biểu 03'!C36</f>
        <v>Buổi</v>
      </c>
      <c r="D137" s="247">
        <f>'Biểu 03'!D36</f>
        <v>17</v>
      </c>
      <c r="E137" s="236"/>
      <c r="F137" s="248">
        <f>'Biểu 03'!E36</f>
        <v>400000</v>
      </c>
      <c r="G137" s="255"/>
      <c r="H137" s="236"/>
      <c r="I137" s="236"/>
      <c r="J137" s="236"/>
      <c r="K137" s="250">
        <f>'Biểu 03'!F36</f>
        <v>6800000</v>
      </c>
      <c r="L137" s="236"/>
      <c r="M137" s="250">
        <f t="shared" si="1"/>
        <v>6800000</v>
      </c>
    </row>
    <row r="138" spans="1:13" ht="25.5" x14ac:dyDescent="0.2">
      <c r="A138" s="233"/>
      <c r="B138" s="246" t="str">
        <f>'Biểu 03'!B37</f>
        <v>Báo cáo viên trình bày tại hội thảo</v>
      </c>
      <c r="C138" s="247" t="str">
        <f>'Biểu 03'!C37</f>
        <v>Buổi</v>
      </c>
      <c r="D138" s="247">
        <f>'Biểu 03'!D37</f>
        <v>17</v>
      </c>
      <c r="E138" s="236"/>
      <c r="F138" s="248">
        <f>'Biểu 03'!E37</f>
        <v>2400000</v>
      </c>
      <c r="G138" s="255"/>
      <c r="H138" s="236"/>
      <c r="I138" s="236"/>
      <c r="J138" s="236"/>
      <c r="K138" s="250">
        <f>'Biểu 03'!F37</f>
        <v>40800000</v>
      </c>
      <c r="L138" s="236"/>
      <c r="M138" s="250">
        <f t="shared" si="1"/>
        <v>40800000</v>
      </c>
    </row>
    <row r="139" spans="1:13" ht="63.75" x14ac:dyDescent="0.2">
      <c r="A139" s="233"/>
      <c r="B139" s="246" t="str">
        <f>'Biểu 03'!B38</f>
        <v>Báo cáo khoa học do cơ quan tổ chức hội thảo đề nghị viết nhưng không trình bày tại hội thảo</v>
      </c>
      <c r="C139" s="247" t="str">
        <f>'Biểu 03'!C38</f>
        <v>Báo cáo</v>
      </c>
      <c r="D139" s="247">
        <f>'Biểu 03'!D38</f>
        <v>34</v>
      </c>
      <c r="E139" s="236"/>
      <c r="F139" s="248">
        <f>'Biểu 03'!E38</f>
        <v>1200000</v>
      </c>
      <c r="G139" s="255"/>
      <c r="H139" s="236"/>
      <c r="I139" s="236"/>
      <c r="J139" s="236"/>
      <c r="K139" s="250">
        <f>'Biểu 03'!F38</f>
        <v>40800000</v>
      </c>
      <c r="L139" s="236"/>
      <c r="M139" s="250">
        <f t="shared" si="1"/>
        <v>40800000</v>
      </c>
    </row>
    <row r="140" spans="1:13" ht="25.5" x14ac:dyDescent="0.2">
      <c r="A140" s="233"/>
      <c r="B140" s="246" t="str">
        <f>'Biểu 03'!B39</f>
        <v>Đại biểu được mời tham dự hội thảo</v>
      </c>
      <c r="C140" s="247" t="str">
        <f>'Biểu 03'!C39</f>
        <v>Người</v>
      </c>
      <c r="D140" s="247">
        <f>'Biểu 03'!D39</f>
        <v>510</v>
      </c>
      <c r="E140" s="236"/>
      <c r="F140" s="248">
        <f>'Biểu 03'!E39</f>
        <v>240000</v>
      </c>
      <c r="G140" s="255"/>
      <c r="H140" s="236"/>
      <c r="I140" s="236"/>
      <c r="J140" s="236"/>
      <c r="K140" s="250">
        <f>'Biểu 03'!F39</f>
        <v>122400000</v>
      </c>
      <c r="L140" s="236"/>
      <c r="M140" s="250">
        <f t="shared" si="1"/>
        <v>122400000</v>
      </c>
    </row>
    <row r="141" spans="1:13" x14ac:dyDescent="0.2">
      <c r="A141" s="233"/>
      <c r="B141" s="246" t="str">
        <f>'Biểu 03'!B40</f>
        <v>Photo tài liệu</v>
      </c>
      <c r="C141" s="247" t="str">
        <f>'Biểu 03'!C40</f>
        <v>Bộ</v>
      </c>
      <c r="D141" s="247">
        <f>'Biểu 03'!D40</f>
        <v>510</v>
      </c>
      <c r="E141" s="236"/>
      <c r="F141" s="248">
        <f>'Biểu 03'!E40</f>
        <v>50000</v>
      </c>
      <c r="G141" s="255"/>
      <c r="H141" s="236"/>
      <c r="I141" s="236"/>
      <c r="J141" s="236"/>
      <c r="K141" s="250">
        <f>'Biểu 03'!F40</f>
        <v>25500000</v>
      </c>
      <c r="L141" s="236"/>
      <c r="M141" s="250">
        <f t="shared" si="1"/>
        <v>25500000</v>
      </c>
    </row>
    <row r="142" spans="1:13" x14ac:dyDescent="0.2">
      <c r="A142" s="233"/>
      <c r="B142" s="246" t="str">
        <f>'Biểu 03'!B41</f>
        <v>Nước uống</v>
      </c>
      <c r="C142" s="247" t="str">
        <f>'Biểu 03'!C41</f>
        <v>Người</v>
      </c>
      <c r="D142" s="247">
        <f>'Biểu 03'!D41</f>
        <v>510</v>
      </c>
      <c r="E142" s="236"/>
      <c r="F142" s="248">
        <f>'Biểu 03'!E41</f>
        <v>20000</v>
      </c>
      <c r="G142" s="255"/>
      <c r="H142" s="236"/>
      <c r="I142" s="236"/>
      <c r="J142" s="236"/>
      <c r="K142" s="250">
        <f>'Biểu 03'!F41</f>
        <v>10200000</v>
      </c>
      <c r="L142" s="236"/>
      <c r="M142" s="250">
        <f t="shared" ref="M142:M189" si="2">SUM(K142:L142)</f>
        <v>10200000</v>
      </c>
    </row>
    <row r="143" spans="1:13" x14ac:dyDescent="0.2">
      <c r="A143" s="233"/>
      <c r="B143" s="246" t="str">
        <f>'Biểu 03'!B42</f>
        <v>Hỗ trợ tiền ăn</v>
      </c>
      <c r="C143" s="247" t="str">
        <f>'Biểu 03'!C42</f>
        <v>Người</v>
      </c>
      <c r="D143" s="247">
        <f>'Biểu 03'!D42</f>
        <v>510</v>
      </c>
      <c r="E143" s="236"/>
      <c r="F143" s="248">
        <f>'Biểu 03'!E42</f>
        <v>100000</v>
      </c>
      <c r="G143" s="255"/>
      <c r="H143" s="236"/>
      <c r="I143" s="236"/>
      <c r="J143" s="236"/>
      <c r="K143" s="250">
        <f>'Biểu 03'!F42</f>
        <v>51000000</v>
      </c>
      <c r="L143" s="236"/>
      <c r="M143" s="250">
        <f t="shared" si="2"/>
        <v>51000000</v>
      </c>
    </row>
    <row r="144" spans="1:13" x14ac:dyDescent="0.2">
      <c r="A144" s="233"/>
      <c r="B144" s="246" t="str">
        <f>'Biểu 03'!B43</f>
        <v xml:space="preserve">Hỗ trợ tiền đi lại </v>
      </c>
      <c r="C144" s="247" t="str">
        <f>'Biểu 03'!C43</f>
        <v>Người</v>
      </c>
      <c r="D144" s="247">
        <f>'Biểu 03'!D43</f>
        <v>510</v>
      </c>
      <c r="E144" s="236"/>
      <c r="F144" s="248">
        <f>'Biểu 03'!E43</f>
        <v>50000</v>
      </c>
      <c r="G144" s="255"/>
      <c r="H144" s="236"/>
      <c r="I144" s="236"/>
      <c r="J144" s="236"/>
      <c r="K144" s="250">
        <f>'Biểu 03'!F43</f>
        <v>25500000</v>
      </c>
      <c r="L144" s="236"/>
      <c r="M144" s="250">
        <f t="shared" si="2"/>
        <v>25500000</v>
      </c>
    </row>
    <row r="145" spans="1:13" x14ac:dyDescent="0.2">
      <c r="A145" s="233"/>
      <c r="B145" s="246" t="str">
        <f>'Biểu 03'!B44</f>
        <v>Thuê xe đi lại</v>
      </c>
      <c r="C145" s="247" t="str">
        <f>'Biểu 03'!C44</f>
        <v>Ngày</v>
      </c>
      <c r="D145" s="247">
        <f>'Biểu 03'!D44</f>
        <v>19</v>
      </c>
      <c r="E145" s="236"/>
      <c r="F145" s="248">
        <f>'Biểu 03'!E44</f>
        <v>1850000</v>
      </c>
      <c r="G145" s="255"/>
      <c r="H145" s="236"/>
      <c r="I145" s="236"/>
      <c r="J145" s="236"/>
      <c r="K145" s="250">
        <f>'Biểu 03'!F44</f>
        <v>35150000</v>
      </c>
      <c r="L145" s="236"/>
      <c r="M145" s="250">
        <f t="shared" si="2"/>
        <v>35150000</v>
      </c>
    </row>
    <row r="146" spans="1:13" ht="25.5" x14ac:dyDescent="0.2">
      <c r="A146" s="233"/>
      <c r="B146" s="246" t="str">
        <f>'Biểu 03'!B45</f>
        <v>Phụ cấp lưu trú (4 người x 02 ngày)</v>
      </c>
      <c r="C146" s="247" t="str">
        <f>'Biểu 03'!C45</f>
        <v>Ngày</v>
      </c>
      <c r="D146" s="247">
        <f>'Biểu 03'!D45</f>
        <v>76</v>
      </c>
      <c r="E146" s="236"/>
      <c r="F146" s="248">
        <f>'Biểu 03'!E45</f>
        <v>200000</v>
      </c>
      <c r="G146" s="255"/>
      <c r="H146" s="236"/>
      <c r="I146" s="236"/>
      <c r="J146" s="236"/>
      <c r="K146" s="250">
        <f>'Biểu 03'!F45</f>
        <v>15200000</v>
      </c>
      <c r="L146" s="236"/>
      <c r="M146" s="250">
        <f t="shared" si="2"/>
        <v>15200000</v>
      </c>
    </row>
    <row r="147" spans="1:13" ht="25.5" x14ac:dyDescent="0.2">
      <c r="A147" s="233"/>
      <c r="B147" s="246" t="str">
        <f>'Biểu 03'!B46</f>
        <v>Thuê phòng ngủ (4 người x 1 đêm)</v>
      </c>
      <c r="C147" s="247" t="str">
        <f>'Biểu 03'!C46</f>
        <v>Đêm</v>
      </c>
      <c r="D147" s="247">
        <f>'Biểu 03'!D46</f>
        <v>72</v>
      </c>
      <c r="E147" s="236"/>
      <c r="F147" s="248">
        <f>'Biểu 03'!E46</f>
        <v>300000</v>
      </c>
      <c r="G147" s="255"/>
      <c r="H147" s="236"/>
      <c r="I147" s="236"/>
      <c r="J147" s="236"/>
      <c r="K147" s="250">
        <f>'Biểu 03'!F46</f>
        <v>21600000</v>
      </c>
      <c r="L147" s="236"/>
      <c r="M147" s="250">
        <f t="shared" si="2"/>
        <v>21600000</v>
      </c>
    </row>
    <row r="148" spans="1:13" ht="38.25" x14ac:dyDescent="0.2">
      <c r="A148" s="233"/>
      <c r="B148" s="246" t="str">
        <f>'Biểu 03'!B47</f>
        <v>Thuê chuẩn bị hội trường, băng dôn, trang trí, thiết bị âm thanh</v>
      </c>
      <c r="C148" s="247" t="str">
        <f>'Biểu 03'!C47</f>
        <v>Hội trường</v>
      </c>
      <c r="D148" s="247">
        <f>'Biểu 03'!D47</f>
        <v>17</v>
      </c>
      <c r="E148" s="236"/>
      <c r="F148" s="248">
        <f>'Biểu 03'!E47</f>
        <v>3000000</v>
      </c>
      <c r="G148" s="255"/>
      <c r="H148" s="236"/>
      <c r="I148" s="236"/>
      <c r="J148" s="236"/>
      <c r="K148" s="250">
        <f>'Biểu 03'!F47</f>
        <v>51000000</v>
      </c>
      <c r="L148" s="236"/>
      <c r="M148" s="250">
        <f t="shared" si="2"/>
        <v>51000000</v>
      </c>
    </row>
    <row r="149" spans="1:13" ht="54" x14ac:dyDescent="0.2">
      <c r="A149" s="242" t="s">
        <v>345</v>
      </c>
      <c r="B149" s="243" t="str">
        <f>'Biểu 03'!B48</f>
        <v>Hội nghị xin ý kiến của Tổ công tác và lãnh đạo các huyện: 01 hội nghị</v>
      </c>
      <c r="C149" s="236">
        <f>'Biểu 03'!C48</f>
        <v>0</v>
      </c>
      <c r="D149" s="236">
        <f>'Biểu 03'!D48</f>
        <v>0</v>
      </c>
      <c r="E149" s="236"/>
      <c r="F149" s="255">
        <f>'Biểu 03'!E48</f>
        <v>0</v>
      </c>
      <c r="G149" s="255"/>
      <c r="H149" s="236"/>
      <c r="I149" s="236"/>
      <c r="J149" s="236"/>
      <c r="K149" s="245">
        <f>'Biểu 03'!F48</f>
        <v>33550000</v>
      </c>
      <c r="L149" s="236"/>
      <c r="M149" s="245">
        <f t="shared" si="2"/>
        <v>33550000</v>
      </c>
    </row>
    <row r="150" spans="1:13" x14ac:dyDescent="0.2">
      <c r="A150" s="232" t="s">
        <v>131</v>
      </c>
      <c r="B150" s="246" t="str">
        <f>'Biểu 03'!B49</f>
        <v>Chủ trì hội nghị</v>
      </c>
      <c r="C150" s="232" t="str">
        <f>'Biểu 03'!C49</f>
        <v>Buổi</v>
      </c>
      <c r="D150" s="232">
        <f>'Biểu 03'!D49</f>
        <v>2</v>
      </c>
      <c r="E150" s="236"/>
      <c r="F150" s="248">
        <f>'Biểu 03'!E49</f>
        <v>1600000</v>
      </c>
      <c r="G150" s="255"/>
      <c r="H150" s="236"/>
      <c r="I150" s="236"/>
      <c r="J150" s="236"/>
      <c r="K150" s="250">
        <f>'Biểu 03'!F49</f>
        <v>3200000</v>
      </c>
      <c r="L150" s="236"/>
      <c r="M150" s="250">
        <f t="shared" si="2"/>
        <v>3200000</v>
      </c>
    </row>
    <row r="151" spans="1:13" x14ac:dyDescent="0.2">
      <c r="A151" s="232" t="s">
        <v>131</v>
      </c>
      <c r="B151" s="246" t="str">
        <f>'Biểu 03'!B50</f>
        <v>Thư ký hội nghị</v>
      </c>
      <c r="C151" s="232" t="str">
        <f>'Biểu 03'!C50</f>
        <v>Buổi</v>
      </c>
      <c r="D151" s="232">
        <f>'Biểu 03'!D50</f>
        <v>2</v>
      </c>
      <c r="E151" s="236"/>
      <c r="F151" s="248">
        <f>'Biểu 03'!E50</f>
        <v>400000</v>
      </c>
      <c r="G151" s="255"/>
      <c r="H151" s="236"/>
      <c r="I151" s="236"/>
      <c r="J151" s="236"/>
      <c r="K151" s="250">
        <f>'Biểu 03'!F50</f>
        <v>800000</v>
      </c>
      <c r="L151" s="236"/>
      <c r="M151" s="250">
        <f t="shared" si="2"/>
        <v>800000</v>
      </c>
    </row>
    <row r="152" spans="1:13" ht="25.5" x14ac:dyDescent="0.2">
      <c r="A152" s="232" t="s">
        <v>131</v>
      </c>
      <c r="B152" s="246" t="str">
        <f>'Biểu 03'!B51</f>
        <v>Báo cáo viên trình bày tại hội nghị</v>
      </c>
      <c r="C152" s="232" t="str">
        <f>'Biểu 03'!C51</f>
        <v>Buổi</v>
      </c>
      <c r="D152" s="232">
        <f>'Biểu 03'!D51</f>
        <v>1</v>
      </c>
      <c r="E152" s="236"/>
      <c r="F152" s="248">
        <f>'Biểu 03'!E51</f>
        <v>2400000</v>
      </c>
      <c r="G152" s="255"/>
      <c r="H152" s="236"/>
      <c r="I152" s="236"/>
      <c r="J152" s="236"/>
      <c r="K152" s="250">
        <f>'Biểu 03'!F51</f>
        <v>2400000</v>
      </c>
      <c r="L152" s="236"/>
      <c r="M152" s="250">
        <f t="shared" si="2"/>
        <v>2400000</v>
      </c>
    </row>
    <row r="153" spans="1:13" ht="63.75" x14ac:dyDescent="0.2">
      <c r="A153" s="232" t="s">
        <v>131</v>
      </c>
      <c r="B153" s="246" t="str">
        <f>'Biểu 03'!B52</f>
        <v>Báo cáo khoa học do cơ quan tổ chức hội thảo đề nghị viết nhưng không trình bày tại hội thảo</v>
      </c>
      <c r="C153" s="232" t="str">
        <f>'Biểu 03'!C52</f>
        <v>Báo cáo</v>
      </c>
      <c r="D153" s="232">
        <f>'Biểu 03'!D52</f>
        <v>2</v>
      </c>
      <c r="E153" s="236"/>
      <c r="F153" s="248">
        <f>'Biểu 03'!E52</f>
        <v>1200000</v>
      </c>
      <c r="G153" s="255"/>
      <c r="H153" s="236"/>
      <c r="I153" s="236"/>
      <c r="J153" s="236"/>
      <c r="K153" s="250">
        <f>'Biểu 03'!F52</f>
        <v>2400000</v>
      </c>
      <c r="L153" s="236"/>
      <c r="M153" s="250">
        <f t="shared" si="2"/>
        <v>2400000</v>
      </c>
    </row>
    <row r="154" spans="1:13" ht="25.5" x14ac:dyDescent="0.2">
      <c r="A154" s="232" t="s">
        <v>131</v>
      </c>
      <c r="B154" s="246" t="str">
        <f>'Biểu 03'!B53</f>
        <v>Đại biểu được mời tham dự hội thảo</v>
      </c>
      <c r="C154" s="232" t="str">
        <f>'Biểu 03'!C53</f>
        <v>Người</v>
      </c>
      <c r="D154" s="232">
        <f>'Biểu 03'!D53</f>
        <v>45</v>
      </c>
      <c r="E154" s="236"/>
      <c r="F154" s="248">
        <f>'Biểu 03'!E53</f>
        <v>240000</v>
      </c>
      <c r="G154" s="255"/>
      <c r="H154" s="236"/>
      <c r="I154" s="236"/>
      <c r="J154" s="236"/>
      <c r="K154" s="250">
        <f>'Biểu 03'!F53</f>
        <v>10800000</v>
      </c>
      <c r="L154" s="236"/>
      <c r="M154" s="250">
        <f t="shared" si="2"/>
        <v>10800000</v>
      </c>
    </row>
    <row r="155" spans="1:13" x14ac:dyDescent="0.2">
      <c r="A155" s="232" t="s">
        <v>131</v>
      </c>
      <c r="B155" s="246" t="str">
        <f>'Biểu 03'!B54</f>
        <v>Photo tài liệu</v>
      </c>
      <c r="C155" s="232" t="str">
        <f>'Biểu 03'!C54</f>
        <v>Bộ</v>
      </c>
      <c r="D155" s="232">
        <f>'Biểu 03'!D54</f>
        <v>45</v>
      </c>
      <c r="E155" s="236"/>
      <c r="F155" s="248">
        <f>'Biểu 03'!E54</f>
        <v>50000</v>
      </c>
      <c r="G155" s="255"/>
      <c r="H155" s="236"/>
      <c r="I155" s="236"/>
      <c r="J155" s="236"/>
      <c r="K155" s="250">
        <f>'Biểu 03'!F54</f>
        <v>2250000</v>
      </c>
      <c r="L155" s="236"/>
      <c r="M155" s="250">
        <f t="shared" si="2"/>
        <v>2250000</v>
      </c>
    </row>
    <row r="156" spans="1:13" x14ac:dyDescent="0.2">
      <c r="A156" s="232" t="s">
        <v>131</v>
      </c>
      <c r="B156" s="246" t="str">
        <f>'Biểu 03'!B55</f>
        <v>Nước uống</v>
      </c>
      <c r="C156" s="232" t="str">
        <f>'Biểu 03'!C55</f>
        <v>Người</v>
      </c>
      <c r="D156" s="232">
        <f>'Biểu 03'!D55</f>
        <v>45</v>
      </c>
      <c r="E156" s="236"/>
      <c r="F156" s="248">
        <f>'Biểu 03'!E55</f>
        <v>20000</v>
      </c>
      <c r="G156" s="255"/>
      <c r="H156" s="236"/>
      <c r="I156" s="236"/>
      <c r="J156" s="236"/>
      <c r="K156" s="250">
        <f>'Biểu 03'!F55</f>
        <v>900000</v>
      </c>
      <c r="L156" s="236"/>
      <c r="M156" s="250">
        <f t="shared" si="2"/>
        <v>900000</v>
      </c>
    </row>
    <row r="157" spans="1:13" x14ac:dyDescent="0.2">
      <c r="A157" s="232" t="s">
        <v>131</v>
      </c>
      <c r="B157" s="246" t="str">
        <f>'Biểu 03'!B56</f>
        <v>Thuê xe đi lại</v>
      </c>
      <c r="C157" s="232" t="str">
        <f>'Biểu 03'!C56</f>
        <v>Chuyến xe</v>
      </c>
      <c r="D157" s="232">
        <f>'Biểu 03'!D56</f>
        <v>1</v>
      </c>
      <c r="E157" s="236"/>
      <c r="F157" s="248">
        <f>'Biểu 03'!E56</f>
        <v>5000000</v>
      </c>
      <c r="G157" s="255"/>
      <c r="H157" s="236"/>
      <c r="I157" s="236"/>
      <c r="J157" s="236"/>
      <c r="K157" s="250">
        <f>'Biểu 03'!F56</f>
        <v>5000000</v>
      </c>
      <c r="L157" s="236"/>
      <c r="M157" s="250">
        <f t="shared" si="2"/>
        <v>5000000</v>
      </c>
    </row>
    <row r="158" spans="1:13" ht="25.5" x14ac:dyDescent="0.2">
      <c r="A158" s="232" t="s">
        <v>131</v>
      </c>
      <c r="B158" s="246" t="str">
        <f>'Biểu 03'!B57</f>
        <v>Phụ cấp lưu trú (4 người x 02 ngày)</v>
      </c>
      <c r="C158" s="232" t="str">
        <f>'Biểu 03'!C57</f>
        <v>Ngày</v>
      </c>
      <c r="D158" s="232">
        <f>'Biểu 03'!D57</f>
        <v>8</v>
      </c>
      <c r="E158" s="236"/>
      <c r="F158" s="248">
        <f>'Biểu 03'!E57</f>
        <v>200000</v>
      </c>
      <c r="G158" s="255"/>
      <c r="H158" s="236"/>
      <c r="I158" s="236"/>
      <c r="J158" s="236"/>
      <c r="K158" s="250">
        <f>'Biểu 03'!F57</f>
        <v>1600000</v>
      </c>
      <c r="L158" s="236"/>
      <c r="M158" s="250">
        <f t="shared" si="2"/>
        <v>1600000</v>
      </c>
    </row>
    <row r="159" spans="1:13" ht="25.5" x14ac:dyDescent="0.2">
      <c r="A159" s="232" t="s">
        <v>131</v>
      </c>
      <c r="B159" s="246" t="str">
        <f>'Biểu 03'!B58</f>
        <v>Thuê phòng ngủ (4 người x 1 đêm)</v>
      </c>
      <c r="C159" s="232" t="str">
        <f>'Biểu 03'!C58</f>
        <v>Đêm</v>
      </c>
      <c r="D159" s="232">
        <f>'Biểu 03'!D58</f>
        <v>4</v>
      </c>
      <c r="E159" s="236"/>
      <c r="F159" s="248">
        <f>'Biểu 03'!E58</f>
        <v>300000</v>
      </c>
      <c r="G159" s="255"/>
      <c r="H159" s="236"/>
      <c r="I159" s="236"/>
      <c r="J159" s="236"/>
      <c r="K159" s="250">
        <f>'Biểu 03'!F58</f>
        <v>1200000</v>
      </c>
      <c r="L159" s="236"/>
      <c r="M159" s="250">
        <f t="shared" si="2"/>
        <v>1200000</v>
      </c>
    </row>
    <row r="160" spans="1:13" ht="38.25" x14ac:dyDescent="0.2">
      <c r="A160" s="232" t="s">
        <v>131</v>
      </c>
      <c r="B160" s="246" t="str">
        <f>'Biểu 03'!B59</f>
        <v>Thuê chuẩn bị hội trường, băng dôn, trang trí, thiết bị âm thanh</v>
      </c>
      <c r="C160" s="232" t="str">
        <f>'Biểu 03'!C59</f>
        <v>Hội trường</v>
      </c>
      <c r="D160" s="232">
        <f>'Biểu 03'!D59</f>
        <v>1</v>
      </c>
      <c r="E160" s="236"/>
      <c r="F160" s="248">
        <f>'Biểu 03'!E59</f>
        <v>3000000</v>
      </c>
      <c r="G160" s="255"/>
      <c r="H160" s="236"/>
      <c r="I160" s="236"/>
      <c r="J160" s="236"/>
      <c r="K160" s="250">
        <f>'Biểu 03'!F59</f>
        <v>3000000</v>
      </c>
      <c r="L160" s="236"/>
      <c r="M160" s="250">
        <f t="shared" si="2"/>
        <v>3000000</v>
      </c>
    </row>
    <row r="161" spans="1:13" ht="27" x14ac:dyDescent="0.2">
      <c r="A161" s="242" t="s">
        <v>350</v>
      </c>
      <c r="B161" s="243" t="str">
        <f>'Biểu 03'!B60</f>
        <v>Hội thảo cấp tỉnh xin ý kiến chuyên gia</v>
      </c>
      <c r="C161" s="254">
        <f>'Biểu 03'!C60</f>
        <v>0</v>
      </c>
      <c r="D161" s="254">
        <f>'Biểu 03'!D60</f>
        <v>0</v>
      </c>
      <c r="E161" s="236"/>
      <c r="F161" s="255">
        <f>'Biểu 03'!E60</f>
        <v>0</v>
      </c>
      <c r="G161" s="255"/>
      <c r="H161" s="236"/>
      <c r="I161" s="236"/>
      <c r="J161" s="236"/>
      <c r="K161" s="245">
        <f>'Biểu 03'!F60</f>
        <v>68100000</v>
      </c>
      <c r="L161" s="236"/>
      <c r="M161" s="245">
        <f t="shared" si="2"/>
        <v>68100000</v>
      </c>
    </row>
    <row r="162" spans="1:13" x14ac:dyDescent="0.2">
      <c r="A162" s="232" t="s">
        <v>131</v>
      </c>
      <c r="B162" s="246" t="str">
        <f>'Biểu 03'!B61</f>
        <v>Chủ trì hội thảo</v>
      </c>
      <c r="C162" s="232" t="str">
        <f>'Biểu 03'!C61</f>
        <v>Buổi</v>
      </c>
      <c r="D162" s="232">
        <f>'Biểu 03'!D61</f>
        <v>2</v>
      </c>
      <c r="E162" s="236"/>
      <c r="F162" s="248">
        <f>'Biểu 03'!E61</f>
        <v>1600000</v>
      </c>
      <c r="G162" s="255"/>
      <c r="H162" s="236"/>
      <c r="I162" s="236"/>
      <c r="J162" s="236"/>
      <c r="K162" s="250">
        <f>'Biểu 03'!F61</f>
        <v>3200000</v>
      </c>
      <c r="L162" s="236"/>
      <c r="M162" s="250">
        <f t="shared" si="2"/>
        <v>3200000</v>
      </c>
    </row>
    <row r="163" spans="1:13" x14ac:dyDescent="0.2">
      <c r="A163" s="232" t="s">
        <v>131</v>
      </c>
      <c r="B163" s="246" t="str">
        <f>'Biểu 03'!B62</f>
        <v>Thư ký hội thảo</v>
      </c>
      <c r="C163" s="232" t="str">
        <f>'Biểu 03'!C62</f>
        <v>Buổi</v>
      </c>
      <c r="D163" s="232">
        <f>'Biểu 03'!D62</f>
        <v>2</v>
      </c>
      <c r="E163" s="236"/>
      <c r="F163" s="248">
        <f>'Biểu 03'!E62</f>
        <v>400000</v>
      </c>
      <c r="G163" s="255"/>
      <c r="H163" s="236"/>
      <c r="I163" s="236"/>
      <c r="J163" s="236"/>
      <c r="K163" s="250">
        <f>'Biểu 03'!F62</f>
        <v>800000</v>
      </c>
      <c r="L163" s="236"/>
      <c r="M163" s="250">
        <f t="shared" si="2"/>
        <v>800000</v>
      </c>
    </row>
    <row r="164" spans="1:13" ht="25.5" x14ac:dyDescent="0.2">
      <c r="A164" s="232"/>
      <c r="B164" s="246" t="str">
        <f>'Biểu 03'!B63</f>
        <v>Báo cáo viên trình bày tại hội thảo</v>
      </c>
      <c r="C164" s="232" t="str">
        <f>'Biểu 03'!C63</f>
        <v>Buổi</v>
      </c>
      <c r="D164" s="232">
        <f>'Biểu 03'!D63</f>
        <v>1</v>
      </c>
      <c r="E164" s="236"/>
      <c r="F164" s="248">
        <f>'Biểu 03'!E63</f>
        <v>2400000</v>
      </c>
      <c r="G164" s="255"/>
      <c r="H164" s="236"/>
      <c r="I164" s="236"/>
      <c r="J164" s="236"/>
      <c r="K164" s="250">
        <f>'Biểu 03'!F63</f>
        <v>2400000</v>
      </c>
      <c r="L164" s="236"/>
      <c r="M164" s="250">
        <f t="shared" si="2"/>
        <v>2400000</v>
      </c>
    </row>
    <row r="165" spans="1:13" ht="63.75" x14ac:dyDescent="0.2">
      <c r="A165" s="232"/>
      <c r="B165" s="246" t="str">
        <f>'Biểu 03'!B64</f>
        <v>Báo cáo khoa học do cơ quan tổ chức hội thảo đề nghị viết nhưng không trình bày tại hội thảo</v>
      </c>
      <c r="C165" s="232" t="str">
        <f>'Biểu 03'!C64</f>
        <v>Báo cáo</v>
      </c>
      <c r="D165" s="232">
        <f>'Biểu 03'!D64</f>
        <v>5</v>
      </c>
      <c r="E165" s="236"/>
      <c r="F165" s="248">
        <f>'Biểu 03'!E64</f>
        <v>1200000</v>
      </c>
      <c r="G165" s="255"/>
      <c r="H165" s="236"/>
      <c r="I165" s="236"/>
      <c r="J165" s="236"/>
      <c r="K165" s="250">
        <f>'Biểu 03'!F64</f>
        <v>6000000</v>
      </c>
      <c r="L165" s="236"/>
      <c r="M165" s="250">
        <f t="shared" si="2"/>
        <v>6000000</v>
      </c>
    </row>
    <row r="166" spans="1:13" ht="25.5" x14ac:dyDescent="0.2">
      <c r="A166" s="232" t="s">
        <v>131</v>
      </c>
      <c r="B166" s="246" t="str">
        <f>'Biểu 03'!B65</f>
        <v>Đại biểu được mời tham dự hội thảo</v>
      </c>
      <c r="C166" s="232" t="str">
        <f>'Biểu 03'!C65</f>
        <v>Người</v>
      </c>
      <c r="D166" s="232">
        <f>'Biểu 03'!D65</f>
        <v>120</v>
      </c>
      <c r="E166" s="236"/>
      <c r="F166" s="248">
        <f>'Biểu 03'!E65</f>
        <v>240000</v>
      </c>
      <c r="G166" s="255"/>
      <c r="H166" s="236"/>
      <c r="I166" s="236"/>
      <c r="J166" s="236"/>
      <c r="K166" s="250">
        <f>'Biểu 03'!F65</f>
        <v>28800000</v>
      </c>
      <c r="L166" s="236"/>
      <c r="M166" s="250">
        <f t="shared" si="2"/>
        <v>28800000</v>
      </c>
    </row>
    <row r="167" spans="1:13" x14ac:dyDescent="0.2">
      <c r="A167" s="232" t="s">
        <v>131</v>
      </c>
      <c r="B167" s="246" t="str">
        <f>'Biểu 03'!B66</f>
        <v>Photo tài liệu</v>
      </c>
      <c r="C167" s="232" t="str">
        <f>'Biểu 03'!C66</f>
        <v>Bộ</v>
      </c>
      <c r="D167" s="232">
        <f>'Biểu 03'!D66</f>
        <v>120</v>
      </c>
      <c r="E167" s="236"/>
      <c r="F167" s="248">
        <f>'Biểu 03'!E66</f>
        <v>50000</v>
      </c>
      <c r="G167" s="255"/>
      <c r="H167" s="236"/>
      <c r="I167" s="236"/>
      <c r="J167" s="236"/>
      <c r="K167" s="250">
        <f>'Biểu 03'!F66</f>
        <v>6000000</v>
      </c>
      <c r="L167" s="236"/>
      <c r="M167" s="250">
        <f t="shared" si="2"/>
        <v>6000000</v>
      </c>
    </row>
    <row r="168" spans="1:13" x14ac:dyDescent="0.2">
      <c r="A168" s="232" t="s">
        <v>131</v>
      </c>
      <c r="B168" s="246" t="str">
        <f>'Biểu 03'!B67</f>
        <v>Nước uống</v>
      </c>
      <c r="C168" s="232" t="str">
        <f>'Biểu 03'!C67</f>
        <v>Người</v>
      </c>
      <c r="D168" s="232">
        <f>'Biểu 03'!D67</f>
        <v>120</v>
      </c>
      <c r="E168" s="236"/>
      <c r="F168" s="248">
        <f>'Biểu 03'!E67</f>
        <v>20000</v>
      </c>
      <c r="G168" s="255"/>
      <c r="H168" s="236"/>
      <c r="I168" s="236"/>
      <c r="J168" s="236"/>
      <c r="K168" s="250">
        <f>'Biểu 03'!F67</f>
        <v>2400000</v>
      </c>
      <c r="L168" s="236"/>
      <c r="M168" s="250">
        <f t="shared" si="2"/>
        <v>2400000</v>
      </c>
    </row>
    <row r="169" spans="1:13" x14ac:dyDescent="0.2">
      <c r="A169" s="232" t="s">
        <v>131</v>
      </c>
      <c r="B169" s="246" t="str">
        <f>'Biểu 03'!B68</f>
        <v>Thuê xe đi lại</v>
      </c>
      <c r="C169" s="232" t="str">
        <f>'Biểu 03'!C68</f>
        <v>Chuyến xe</v>
      </c>
      <c r="D169" s="232">
        <f>'Biểu 03'!D68</f>
        <v>1</v>
      </c>
      <c r="E169" s="236"/>
      <c r="F169" s="248">
        <f>'Biểu 03'!E68</f>
        <v>5000000</v>
      </c>
      <c r="G169" s="255"/>
      <c r="H169" s="236"/>
      <c r="I169" s="236"/>
      <c r="J169" s="236"/>
      <c r="K169" s="250">
        <f>'Biểu 03'!F68</f>
        <v>5000000</v>
      </c>
      <c r="L169" s="236"/>
      <c r="M169" s="250">
        <f t="shared" si="2"/>
        <v>5000000</v>
      </c>
    </row>
    <row r="170" spans="1:13" ht="25.5" x14ac:dyDescent="0.2">
      <c r="A170" s="232" t="s">
        <v>131</v>
      </c>
      <c r="B170" s="246" t="str">
        <f>'Biểu 03'!B69</f>
        <v>Phụ cấp lưu trú (4 người x 02 ngày)</v>
      </c>
      <c r="C170" s="232" t="str">
        <f>'Biểu 03'!C69</f>
        <v>Ngày</v>
      </c>
      <c r="D170" s="232">
        <f>'Biểu 03'!D69</f>
        <v>10</v>
      </c>
      <c r="E170" s="236"/>
      <c r="F170" s="248">
        <f>'Biểu 03'!E69</f>
        <v>200000</v>
      </c>
      <c r="G170" s="255"/>
      <c r="H170" s="236"/>
      <c r="I170" s="236"/>
      <c r="J170" s="236"/>
      <c r="K170" s="250">
        <f>'Biểu 03'!F69</f>
        <v>2000000</v>
      </c>
      <c r="L170" s="236"/>
      <c r="M170" s="250">
        <f t="shared" si="2"/>
        <v>2000000</v>
      </c>
    </row>
    <row r="171" spans="1:13" ht="25.5" x14ac:dyDescent="0.2">
      <c r="A171" s="232" t="s">
        <v>131</v>
      </c>
      <c r="B171" s="246" t="str">
        <f>'Biểu 03'!B70</f>
        <v>Thuê phòng ngủ (4 người x 1 đêm)</v>
      </c>
      <c r="C171" s="232" t="str">
        <f>'Biểu 03'!C70</f>
        <v>Đêm</v>
      </c>
      <c r="D171" s="232">
        <f>'Biểu 03'!D70</f>
        <v>5</v>
      </c>
      <c r="E171" s="236"/>
      <c r="F171" s="248">
        <f>'Biểu 03'!E70</f>
        <v>300000</v>
      </c>
      <c r="G171" s="255"/>
      <c r="H171" s="236"/>
      <c r="I171" s="236"/>
      <c r="J171" s="236"/>
      <c r="K171" s="250">
        <f>'Biểu 03'!F70</f>
        <v>1500000</v>
      </c>
      <c r="L171" s="236"/>
      <c r="M171" s="250">
        <f t="shared" si="2"/>
        <v>1500000</v>
      </c>
    </row>
    <row r="172" spans="1:13" ht="38.25" x14ac:dyDescent="0.2">
      <c r="A172" s="232" t="s">
        <v>131</v>
      </c>
      <c r="B172" s="246" t="str">
        <f>'Biểu 03'!B71</f>
        <v>Thuê hội trường (bao gồm cả băng zôn, trang trí, thiết bị âm thanh)</v>
      </c>
      <c r="C172" s="232" t="str">
        <f>'Biểu 03'!C71</f>
        <v>Hội trường</v>
      </c>
      <c r="D172" s="232">
        <f>'Biểu 03'!D71</f>
        <v>1</v>
      </c>
      <c r="E172" s="236"/>
      <c r="F172" s="248">
        <f>'Biểu 03'!E71</f>
        <v>10000000</v>
      </c>
      <c r="G172" s="255"/>
      <c r="H172" s="236"/>
      <c r="I172" s="236"/>
      <c r="J172" s="236"/>
      <c r="K172" s="250">
        <f>'Biểu 03'!F71</f>
        <v>10000000</v>
      </c>
      <c r="L172" s="236"/>
      <c r="M172" s="250">
        <f t="shared" si="2"/>
        <v>10000000</v>
      </c>
    </row>
    <row r="173" spans="1:13" ht="108" x14ac:dyDescent="0.2">
      <c r="A173" s="242" t="s">
        <v>564</v>
      </c>
      <c r="B173" s="243" t="str">
        <f>'Biểu 03'!B72</f>
        <v>Hội nghị tập huấn hướng dẫn sử dụng cơ sở dữ liệu trực tuyến và chuyển giao kết quả: 17 hội nghị (gồm 01 hội nghị cấp tỉnh và 16 hội nghị cấp huyện)</v>
      </c>
      <c r="C173" s="254">
        <f>'Biểu 03'!C72</f>
        <v>0</v>
      </c>
      <c r="D173" s="254">
        <f>'Biểu 03'!D72</f>
        <v>0</v>
      </c>
      <c r="E173" s="236"/>
      <c r="F173" s="255">
        <f>'Biểu 03'!E72</f>
        <v>0</v>
      </c>
      <c r="G173" s="255"/>
      <c r="H173" s="236"/>
      <c r="I173" s="236"/>
      <c r="J173" s="236"/>
      <c r="K173" s="245">
        <f>'Biểu 03'!F72</f>
        <v>251400000</v>
      </c>
      <c r="L173" s="236"/>
      <c r="M173" s="245">
        <f t="shared" si="2"/>
        <v>251400000</v>
      </c>
    </row>
    <row r="174" spans="1:13" ht="13.5" x14ac:dyDescent="0.2">
      <c r="A174" s="242" t="s">
        <v>145</v>
      </c>
      <c r="B174" s="243" t="str">
        <f>'Biểu 03'!B73</f>
        <v>Chi phí cho giảng viên</v>
      </c>
      <c r="C174" s="254">
        <f>'Biểu 03'!C73</f>
        <v>0</v>
      </c>
      <c r="D174" s="254">
        <f>'Biểu 03'!D73</f>
        <v>0</v>
      </c>
      <c r="E174" s="236"/>
      <c r="F174" s="255">
        <f>'Biểu 03'!E73</f>
        <v>0</v>
      </c>
      <c r="G174" s="255"/>
      <c r="H174" s="236"/>
      <c r="I174" s="236"/>
      <c r="J174" s="236"/>
      <c r="K174" s="245">
        <f>'Biểu 03'!F73</f>
        <v>95400000</v>
      </c>
      <c r="L174" s="236"/>
      <c r="M174" s="245">
        <f t="shared" si="2"/>
        <v>95400000</v>
      </c>
    </row>
    <row r="175" spans="1:13" x14ac:dyDescent="0.2">
      <c r="A175" s="233" t="s">
        <v>131</v>
      </c>
      <c r="B175" s="246" t="str">
        <f>'Biểu 03'!B74</f>
        <v>Soạn bài giảng:</v>
      </c>
      <c r="C175" s="232" t="str">
        <f>'Biểu 03'!C74</f>
        <v>Bài</v>
      </c>
      <c r="D175" s="232">
        <f>'Biểu 03'!D74</f>
        <v>2</v>
      </c>
      <c r="E175" s="236"/>
      <c r="F175" s="248">
        <f>'Biểu 03'!E74</f>
        <v>1000000</v>
      </c>
      <c r="G175" s="255"/>
      <c r="H175" s="236"/>
      <c r="I175" s="236"/>
      <c r="J175" s="236"/>
      <c r="K175" s="250">
        <f>'Biểu 03'!F74</f>
        <v>2000000</v>
      </c>
      <c r="L175" s="236"/>
      <c r="M175" s="250">
        <f t="shared" si="2"/>
        <v>2000000</v>
      </c>
    </row>
    <row r="176" spans="1:13" ht="38.25" x14ac:dyDescent="0.2">
      <c r="A176" s="233" t="s">
        <v>131</v>
      </c>
      <c r="B176" s="246" t="str">
        <f>'Biểu 03'!B75</f>
        <v>Thù lao giảng viên đứng lớp (17 lớp x 4 buổi)</v>
      </c>
      <c r="C176" s="232" t="str">
        <f>'Biểu 03'!C75</f>
        <v>Buổi</v>
      </c>
      <c r="D176" s="232">
        <f>'Biểu 03'!D75</f>
        <v>72</v>
      </c>
      <c r="E176" s="236"/>
      <c r="F176" s="248">
        <f>'Biểu 03'!E75</f>
        <v>500000</v>
      </c>
      <c r="G176" s="255"/>
      <c r="H176" s="236"/>
      <c r="I176" s="236"/>
      <c r="J176" s="236"/>
      <c r="K176" s="250">
        <f>'Biểu 03'!F75</f>
        <v>36000000</v>
      </c>
      <c r="L176" s="236"/>
      <c r="M176" s="250">
        <f t="shared" si="2"/>
        <v>36000000</v>
      </c>
    </row>
    <row r="177" spans="1:13" x14ac:dyDescent="0.2">
      <c r="A177" s="233" t="s">
        <v>131</v>
      </c>
      <c r="B177" s="246" t="str">
        <f>'Biểu 03'!B76</f>
        <v>Chi phí đi lại</v>
      </c>
      <c r="C177" s="232" t="str">
        <f>'Biểu 03'!C76</f>
        <v>Ngày</v>
      </c>
      <c r="D177" s="232">
        <f>'Biểu 03'!D76</f>
        <v>20</v>
      </c>
      <c r="E177" s="236"/>
      <c r="F177" s="248">
        <f>'Biểu 03'!E76</f>
        <v>2000000</v>
      </c>
      <c r="G177" s="255"/>
      <c r="H177" s="236"/>
      <c r="I177" s="236"/>
      <c r="J177" s="236"/>
      <c r="K177" s="250">
        <f>'Biểu 03'!F76</f>
        <v>40000000</v>
      </c>
      <c r="L177" s="236"/>
      <c r="M177" s="250">
        <f t="shared" si="2"/>
        <v>40000000</v>
      </c>
    </row>
    <row r="178" spans="1:13" x14ac:dyDescent="0.2">
      <c r="A178" s="233" t="s">
        <v>131</v>
      </c>
      <c r="B178" s="246" t="str">
        <f>'Biểu 03'!B77</f>
        <v>Phụ cấp lưu trú</v>
      </c>
      <c r="C178" s="232" t="str">
        <f>'Biểu 03'!C77</f>
        <v>Ngày</v>
      </c>
      <c r="D178" s="232">
        <f>'Biểu 03'!D77</f>
        <v>40</v>
      </c>
      <c r="E178" s="236"/>
      <c r="F178" s="248">
        <f>'Biểu 03'!E77</f>
        <v>200000</v>
      </c>
      <c r="G178" s="255"/>
      <c r="H178" s="236"/>
      <c r="I178" s="236"/>
      <c r="J178" s="236"/>
      <c r="K178" s="250">
        <f>'Biểu 03'!F77</f>
        <v>8000000</v>
      </c>
      <c r="L178" s="236"/>
      <c r="M178" s="250">
        <f t="shared" si="2"/>
        <v>8000000</v>
      </c>
    </row>
    <row r="179" spans="1:13" x14ac:dyDescent="0.2">
      <c r="A179" s="233" t="s">
        <v>131</v>
      </c>
      <c r="B179" s="246" t="str">
        <f>'Biểu 03'!B78</f>
        <v>Thuê phòng ngủ</v>
      </c>
      <c r="C179" s="232" t="str">
        <f>'Biểu 03'!C78</f>
        <v>Đêm</v>
      </c>
      <c r="D179" s="232">
        <f>'Biểu 03'!D78</f>
        <v>38</v>
      </c>
      <c r="E179" s="236"/>
      <c r="F179" s="248">
        <f>'Biểu 03'!E78</f>
        <v>300000</v>
      </c>
      <c r="G179" s="255"/>
      <c r="H179" s="236"/>
      <c r="I179" s="236"/>
      <c r="J179" s="236"/>
      <c r="K179" s="250">
        <f>'Biểu 03'!F78</f>
        <v>11400000</v>
      </c>
      <c r="L179" s="236"/>
      <c r="M179" s="250">
        <f t="shared" si="2"/>
        <v>11400000</v>
      </c>
    </row>
    <row r="180" spans="1:13" ht="13.5" x14ac:dyDescent="0.2">
      <c r="A180" s="242" t="s">
        <v>146</v>
      </c>
      <c r="B180" s="243" t="str">
        <f>'Biểu 03'!B79</f>
        <v>Chi cho học viên</v>
      </c>
      <c r="C180" s="254">
        <f>'Biểu 03'!C79</f>
        <v>0</v>
      </c>
      <c r="D180" s="254">
        <f>'Biểu 03'!D79</f>
        <v>0</v>
      </c>
      <c r="E180" s="236"/>
      <c r="F180" s="255">
        <f>'Biểu 03'!E79</f>
        <v>0</v>
      </c>
      <c r="G180" s="255"/>
      <c r="H180" s="236"/>
      <c r="I180" s="236"/>
      <c r="J180" s="236"/>
      <c r="K180" s="245">
        <f>'Biểu 03'!F79</f>
        <v>102000000</v>
      </c>
      <c r="L180" s="236"/>
      <c r="M180" s="245">
        <f t="shared" si="2"/>
        <v>102000000</v>
      </c>
    </row>
    <row r="181" spans="1:13" x14ac:dyDescent="0.2">
      <c r="A181" s="233" t="s">
        <v>131</v>
      </c>
      <c r="B181" s="246" t="str">
        <f>'Biểu 03'!B80</f>
        <v xml:space="preserve">Hỗ trợ tiền đi lại </v>
      </c>
      <c r="C181" s="232" t="str">
        <f>'Biểu 03'!C80</f>
        <v>Người</v>
      </c>
      <c r="D181" s="232">
        <f>'Biểu 03'!D80</f>
        <v>510</v>
      </c>
      <c r="E181" s="236"/>
      <c r="F181" s="248">
        <f>'Biểu 03'!E80</f>
        <v>50000</v>
      </c>
      <c r="G181" s="255"/>
      <c r="H181" s="236"/>
      <c r="I181" s="236"/>
      <c r="J181" s="236"/>
      <c r="K181" s="250">
        <f>'Biểu 03'!F80</f>
        <v>25500000</v>
      </c>
      <c r="L181" s="236"/>
      <c r="M181" s="250">
        <f t="shared" si="2"/>
        <v>25500000</v>
      </c>
    </row>
    <row r="182" spans="1:13" x14ac:dyDescent="0.2">
      <c r="A182" s="233" t="s">
        <v>131</v>
      </c>
      <c r="B182" s="246" t="str">
        <f>'Biểu 03'!B81</f>
        <v>Hỗ trợ tiền ăn</v>
      </c>
      <c r="C182" s="232" t="str">
        <f>'Biểu 03'!C81</f>
        <v>Người</v>
      </c>
      <c r="D182" s="232">
        <f>'Biểu 03'!D81</f>
        <v>510</v>
      </c>
      <c r="E182" s="236"/>
      <c r="F182" s="248">
        <f>'Biểu 03'!E81</f>
        <v>100000</v>
      </c>
      <c r="G182" s="255"/>
      <c r="H182" s="236"/>
      <c r="I182" s="236"/>
      <c r="J182" s="236"/>
      <c r="K182" s="250">
        <f>'Biểu 03'!F81</f>
        <v>51000000</v>
      </c>
      <c r="L182" s="236"/>
      <c r="M182" s="250">
        <f t="shared" si="2"/>
        <v>51000000</v>
      </c>
    </row>
    <row r="183" spans="1:13" x14ac:dyDescent="0.2">
      <c r="A183" s="233" t="s">
        <v>131</v>
      </c>
      <c r="B183" s="246" t="str">
        <f>'Biểu 03'!B82</f>
        <v>Tiền nước uống</v>
      </c>
      <c r="C183" s="232" t="str">
        <f>'Biểu 03'!C82</f>
        <v>Người</v>
      </c>
      <c r="D183" s="232">
        <f>'Biểu 03'!D82</f>
        <v>510</v>
      </c>
      <c r="E183" s="236"/>
      <c r="F183" s="248">
        <f>'Biểu 03'!E82</f>
        <v>20000</v>
      </c>
      <c r="G183" s="255"/>
      <c r="H183" s="236"/>
      <c r="I183" s="236"/>
      <c r="J183" s="236"/>
      <c r="K183" s="250">
        <f>'Biểu 03'!F82</f>
        <v>10200000</v>
      </c>
      <c r="L183" s="236"/>
      <c r="M183" s="250">
        <f t="shared" si="2"/>
        <v>10200000</v>
      </c>
    </row>
    <row r="184" spans="1:13" x14ac:dyDescent="0.2">
      <c r="A184" s="233" t="s">
        <v>131</v>
      </c>
      <c r="B184" s="246" t="str">
        <f>'Biểu 03'!B83</f>
        <v>Tiền tài liệu</v>
      </c>
      <c r="C184" s="232" t="str">
        <f>'Biểu 03'!C83</f>
        <v>Bộ</v>
      </c>
      <c r="D184" s="232">
        <f>'Biểu 03'!D83</f>
        <v>510</v>
      </c>
      <c r="E184" s="236"/>
      <c r="F184" s="248">
        <f>'Biểu 03'!E83</f>
        <v>30000</v>
      </c>
      <c r="G184" s="255"/>
      <c r="H184" s="236"/>
      <c r="I184" s="236"/>
      <c r="J184" s="236"/>
      <c r="K184" s="250">
        <f>'Biểu 03'!F83</f>
        <v>15300000</v>
      </c>
      <c r="L184" s="236"/>
      <c r="M184" s="250">
        <f t="shared" si="2"/>
        <v>15300000</v>
      </c>
    </row>
    <row r="185" spans="1:13" ht="13.5" x14ac:dyDescent="0.2">
      <c r="A185" s="242" t="s">
        <v>147</v>
      </c>
      <c r="B185" s="243" t="str">
        <f>'Biểu 03'!B84</f>
        <v>Chi tổ chức lớp học</v>
      </c>
      <c r="C185" s="254">
        <f>'Biểu 03'!C84</f>
        <v>0</v>
      </c>
      <c r="D185" s="254">
        <f>'Biểu 03'!D84</f>
        <v>0</v>
      </c>
      <c r="E185" s="236"/>
      <c r="F185" s="255">
        <f>'Biểu 03'!E84</f>
        <v>0</v>
      </c>
      <c r="G185" s="255"/>
      <c r="H185" s="236"/>
      <c r="I185" s="236"/>
      <c r="J185" s="236"/>
      <c r="K185" s="245">
        <f>'Biểu 03'!F84</f>
        <v>54000000</v>
      </c>
      <c r="L185" s="236"/>
      <c r="M185" s="245">
        <f t="shared" si="2"/>
        <v>54000000</v>
      </c>
    </row>
    <row r="186" spans="1:13" ht="38.25" x14ac:dyDescent="0.2">
      <c r="A186" s="233" t="s">
        <v>131</v>
      </c>
      <c r="B186" s="246" t="str">
        <f>'Biểu 03'!B85</f>
        <v>Thuê chuẩn bị hội trường, trang trí, thiết bị âm thanh</v>
      </c>
      <c r="C186" s="232" t="str">
        <f>'Biểu 03'!C85</f>
        <v>Ngày</v>
      </c>
      <c r="D186" s="232">
        <f>'Biểu 03'!D85</f>
        <v>18</v>
      </c>
      <c r="E186" s="236"/>
      <c r="F186" s="248">
        <f>'Biểu 03'!E85</f>
        <v>3000000</v>
      </c>
      <c r="G186" s="255"/>
      <c r="H186" s="236"/>
      <c r="I186" s="236"/>
      <c r="J186" s="236"/>
      <c r="K186" s="250">
        <f>'Biểu 03'!F85</f>
        <v>54000000</v>
      </c>
      <c r="L186" s="236"/>
      <c r="M186" s="250">
        <f t="shared" si="2"/>
        <v>54000000</v>
      </c>
    </row>
    <row r="187" spans="1:13" ht="38.25" x14ac:dyDescent="0.2">
      <c r="A187" s="233">
        <v>5</v>
      </c>
      <c r="B187" s="239" t="str">
        <f>'Biểu 03'!B86</f>
        <v>Chi phí mua vật tư, dụng cụ, thiết bị phục vụ điều tra khảo sát</v>
      </c>
      <c r="C187" s="232">
        <f>'Biểu 03'!C86</f>
        <v>0</v>
      </c>
      <c r="D187" s="232">
        <f>'Biểu 03'!D86</f>
        <v>0</v>
      </c>
      <c r="E187" s="236"/>
      <c r="F187" s="248">
        <f>'Biểu 03'!E86</f>
        <v>0</v>
      </c>
      <c r="G187" s="255"/>
      <c r="H187" s="236"/>
      <c r="I187" s="236"/>
      <c r="J187" s="236"/>
      <c r="K187" s="238">
        <f>'Biểu 03'!F86</f>
        <v>85000000</v>
      </c>
      <c r="L187" s="236"/>
      <c r="M187" s="238">
        <f t="shared" si="2"/>
        <v>85000000</v>
      </c>
    </row>
    <row r="188" spans="1:13" ht="38.25" x14ac:dyDescent="0.2">
      <c r="A188" s="233">
        <v>6</v>
      </c>
      <c r="B188" s="239" t="str">
        <f>'Biểu 03'!B102</f>
        <v xml:space="preserve">Chi phí in sản phẩm giao nộp (Bản đồ, báo cáo các loại): </v>
      </c>
      <c r="C188" s="232" t="str">
        <f>'Biểu 03'!C102</f>
        <v>Huyện</v>
      </c>
      <c r="D188" s="257">
        <f>'Biểu 03'!D102</f>
        <v>18</v>
      </c>
      <c r="E188" s="236"/>
      <c r="F188" s="248">
        <f>'Biểu 03'!E102</f>
        <v>30000000</v>
      </c>
      <c r="G188" s="255"/>
      <c r="H188" s="236"/>
      <c r="I188" s="236"/>
      <c r="J188" s="236"/>
      <c r="K188" s="238">
        <f>'Biểu 03'!F102</f>
        <v>540000000</v>
      </c>
      <c r="L188" s="236"/>
      <c r="M188" s="238">
        <f t="shared" si="2"/>
        <v>540000000</v>
      </c>
    </row>
    <row r="189" spans="1:13" ht="16.5" customHeight="1" x14ac:dyDescent="0.2">
      <c r="A189" s="233" t="s">
        <v>57</v>
      </c>
      <c r="B189" s="239" t="s">
        <v>68</v>
      </c>
      <c r="C189" s="254"/>
      <c r="D189" s="236"/>
      <c r="E189" s="236"/>
      <c r="F189" s="255"/>
      <c r="G189" s="255"/>
      <c r="H189" s="236"/>
      <c r="I189" s="236"/>
      <c r="J189" s="236"/>
      <c r="K189" s="238">
        <f>RutGon!C20</f>
        <v>475058958.83242929</v>
      </c>
      <c r="L189" s="236"/>
      <c r="M189" s="238">
        <f t="shared" si="2"/>
        <v>475058958.83242929</v>
      </c>
    </row>
    <row r="190" spans="1:13" ht="25.5" x14ac:dyDescent="0.2">
      <c r="A190" s="233">
        <v>1</v>
      </c>
      <c r="B190" s="239" t="s">
        <v>269</v>
      </c>
      <c r="C190" s="254"/>
      <c r="D190" s="236"/>
      <c r="E190" s="236"/>
      <c r="F190" s="255"/>
      <c r="G190" s="255"/>
      <c r="H190" s="236"/>
      <c r="I190" s="236"/>
      <c r="J190" s="236"/>
      <c r="K190" s="250">
        <f>TongHop!D23</f>
        <v>56743576.923707284</v>
      </c>
      <c r="L190" s="236"/>
      <c r="M190" s="250">
        <f>SUM(K190:L190)</f>
        <v>56743576.923707284</v>
      </c>
    </row>
    <row r="191" spans="1:13" ht="25.5" x14ac:dyDescent="0.2">
      <c r="A191" s="233">
        <v>2</v>
      </c>
      <c r="B191" s="239" t="s">
        <v>168</v>
      </c>
      <c r="C191" s="254"/>
      <c r="D191" s="236"/>
      <c r="E191" s="236"/>
      <c r="F191" s="255"/>
      <c r="G191" s="255"/>
      <c r="H191" s="236"/>
      <c r="I191" s="236"/>
      <c r="J191" s="236"/>
      <c r="K191" s="250">
        <f>TongHop!D24</f>
        <v>42240000</v>
      </c>
      <c r="L191" s="236"/>
      <c r="M191" s="250">
        <f>SUM(K191:L191)</f>
        <v>42240000</v>
      </c>
    </row>
    <row r="192" spans="1:13" ht="25.5" x14ac:dyDescent="0.2">
      <c r="A192" s="233">
        <v>3</v>
      </c>
      <c r="B192" s="239" t="s">
        <v>268</v>
      </c>
      <c r="C192" s="254"/>
      <c r="D192" s="236"/>
      <c r="E192" s="236"/>
      <c r="F192" s="255"/>
      <c r="G192" s="255"/>
      <c r="H192" s="236"/>
      <c r="I192" s="236"/>
      <c r="J192" s="236"/>
      <c r="K192" s="250">
        <f>TongHop!D25</f>
        <v>252193675.2164768</v>
      </c>
      <c r="L192" s="236"/>
      <c r="M192" s="250">
        <f>SUM(K192:L192)</f>
        <v>252193675.2164768</v>
      </c>
    </row>
    <row r="193" spans="1:14" ht="25.5" x14ac:dyDescent="0.2">
      <c r="A193" s="233">
        <v>4</v>
      </c>
      <c r="B193" s="239" t="s">
        <v>270</v>
      </c>
      <c r="C193" s="254"/>
      <c r="D193" s="236"/>
      <c r="E193" s="236"/>
      <c r="F193" s="255"/>
      <c r="G193" s="255"/>
      <c r="H193" s="236"/>
      <c r="I193" s="236"/>
      <c r="J193" s="236"/>
      <c r="K193" s="250">
        <f>TongHop!D26</f>
        <v>123881706.69224527</v>
      </c>
      <c r="L193" s="236"/>
      <c r="M193" s="250">
        <f>SUM(K193:L193)</f>
        <v>123881706.69224527</v>
      </c>
    </row>
    <row r="194" spans="1:14" ht="17.25" customHeight="1" x14ac:dyDescent="0.2">
      <c r="A194" s="233" t="s">
        <v>58</v>
      </c>
      <c r="B194" s="239" t="s">
        <v>565</v>
      </c>
      <c r="C194" s="254"/>
      <c r="D194" s="236"/>
      <c r="E194" s="236"/>
      <c r="F194" s="255"/>
      <c r="G194" s="255"/>
      <c r="H194" s="236"/>
      <c r="I194" s="236"/>
      <c r="J194" s="236"/>
      <c r="K194" s="261">
        <f>TongHop!E10+TongHop!E11+TongHop!E12+TongHop!E13+TongHop!E15+TongHop!E18+TongHop!E20+TongHop!E21</f>
        <v>2032238556.044723</v>
      </c>
      <c r="L194" s="261">
        <f>TongHop!E8+TongHop!E9+TongHop!E17</f>
        <v>453213196.12004519</v>
      </c>
      <c r="M194" s="238">
        <f>SUM(K194:L194)</f>
        <v>2485451752.1647682</v>
      </c>
      <c r="N194" s="262"/>
    </row>
    <row r="195" spans="1:14" x14ac:dyDescent="0.2">
      <c r="A195" s="254"/>
      <c r="B195" s="233" t="s">
        <v>566</v>
      </c>
      <c r="C195" s="254"/>
      <c r="D195" s="236"/>
      <c r="E195" s="236"/>
      <c r="F195" s="255"/>
      <c r="G195" s="255"/>
      <c r="H195" s="236"/>
      <c r="I195" s="236"/>
      <c r="J195" s="236"/>
      <c r="K195" s="258">
        <f>K6+K189+K194</f>
        <v>24870062747.302216</v>
      </c>
      <c r="L195" s="258">
        <f>L6+L189+L194</f>
        <v>3938005485.34266</v>
      </c>
      <c r="M195" s="258">
        <f>M6+M189+M194</f>
        <v>28808068232.644875</v>
      </c>
    </row>
    <row r="196" spans="1:14" x14ac:dyDescent="0.2">
      <c r="L196" s="259"/>
      <c r="M196" s="266"/>
    </row>
    <row r="197" spans="1:14" ht="15" x14ac:dyDescent="0.2">
      <c r="L197" s="265"/>
    </row>
  </sheetData>
  <mergeCells count="9">
    <mergeCell ref="A1:M1"/>
    <mergeCell ref="A2:M2"/>
    <mergeCell ref="K4:M4"/>
    <mergeCell ref="A4:A5"/>
    <mergeCell ref="B4:B5"/>
    <mergeCell ref="C4:C5"/>
    <mergeCell ref="D4:E4"/>
    <mergeCell ref="F4:G4"/>
    <mergeCell ref="H4:J4"/>
  </mergeCells>
  <printOptions horizontalCentered="1"/>
  <pageMargins left="0.31496062992125984" right="0.27559055118110237" top="0.74803149606299213" bottom="0.74803149606299213" header="0.31496062992125984" footer="0.31496062992125984"/>
  <pageSetup paperSize="9" orientation="landscape" verticalDpi="0"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9"/>
  <sheetViews>
    <sheetView workbookViewId="0">
      <pane xSplit="3" ySplit="7" topLeftCell="D8" activePane="bottomRight" state="frozen"/>
      <selection pane="topRight" activeCell="D1" sqref="D1"/>
      <selection pane="bottomLeft" activeCell="A8" sqref="A8"/>
      <selection pane="bottomRight" activeCell="O20" sqref="O20"/>
    </sheetView>
  </sheetViews>
  <sheetFormatPr defaultRowHeight="15" x14ac:dyDescent="0.25"/>
  <cols>
    <col min="1" max="1" width="6.42578125" customWidth="1"/>
    <col min="2" max="2" width="20.5703125" bestFit="1" customWidth="1"/>
    <col min="4" max="4" width="10.85546875" customWidth="1"/>
    <col min="5" max="5" width="11.140625" customWidth="1"/>
    <col min="6" max="6" width="9.7109375" customWidth="1"/>
    <col min="8" max="9" width="10.85546875" customWidth="1"/>
    <col min="10" max="10" width="10.5703125" customWidth="1"/>
    <col min="11" max="11" width="9.28515625" customWidth="1"/>
    <col min="12" max="12" width="9.85546875" customWidth="1"/>
    <col min="13" max="16" width="9.140625" customWidth="1"/>
  </cols>
  <sheetData>
    <row r="1" spans="1:14" x14ac:dyDescent="0.25">
      <c r="A1" s="498" t="s">
        <v>816</v>
      </c>
      <c r="B1" s="498"/>
      <c r="C1" s="498"/>
      <c r="D1" s="498"/>
      <c r="E1" s="498"/>
      <c r="F1" s="498"/>
      <c r="G1" s="498"/>
      <c r="H1" s="498"/>
      <c r="I1" s="498"/>
      <c r="J1" s="498"/>
      <c r="K1" s="498"/>
      <c r="L1" s="498"/>
    </row>
    <row r="2" spans="1:14" x14ac:dyDescent="0.25">
      <c r="A2" s="461" t="s">
        <v>254</v>
      </c>
      <c r="B2" s="461"/>
      <c r="C2" s="461"/>
      <c r="D2" s="461"/>
      <c r="E2" s="461"/>
      <c r="F2" s="461"/>
      <c r="G2">
        <v>10</v>
      </c>
    </row>
    <row r="3" spans="1:14" x14ac:dyDescent="0.25">
      <c r="A3" s="461" t="s">
        <v>255</v>
      </c>
      <c r="B3" s="461"/>
      <c r="C3" s="461"/>
      <c r="D3" s="461"/>
      <c r="E3" s="461"/>
      <c r="F3" s="461"/>
      <c r="G3">
        <v>15</v>
      </c>
    </row>
    <row r="4" spans="1:14" ht="5.25" customHeight="1" x14ac:dyDescent="0.25"/>
    <row r="5" spans="1:14" ht="33.75" customHeight="1" x14ac:dyDescent="0.25">
      <c r="A5" s="499" t="s">
        <v>59</v>
      </c>
      <c r="B5" s="499" t="s">
        <v>115</v>
      </c>
      <c r="C5" s="501" t="s">
        <v>827</v>
      </c>
      <c r="D5" s="499" t="s">
        <v>116</v>
      </c>
      <c r="E5" s="499" t="s">
        <v>117</v>
      </c>
      <c r="F5" s="499" t="s">
        <v>118</v>
      </c>
      <c r="G5" s="499" t="s">
        <v>119</v>
      </c>
      <c r="H5" s="499" t="s">
        <v>120</v>
      </c>
      <c r="I5" s="499"/>
      <c r="J5" s="499" t="s">
        <v>122</v>
      </c>
      <c r="K5" s="500" t="s">
        <v>66</v>
      </c>
      <c r="L5" s="500" t="s">
        <v>204</v>
      </c>
    </row>
    <row r="6" spans="1:14" ht="43.5" customHeight="1" x14ac:dyDescent="0.25">
      <c r="A6" s="499"/>
      <c r="B6" s="499"/>
      <c r="C6" s="502"/>
      <c r="D6" s="499"/>
      <c r="E6" s="499"/>
      <c r="F6" s="499"/>
      <c r="G6" s="499"/>
      <c r="H6" s="113" t="s">
        <v>113</v>
      </c>
      <c r="I6" s="113" t="s">
        <v>114</v>
      </c>
      <c r="J6" s="499"/>
      <c r="K6" s="500"/>
      <c r="L6" s="500"/>
    </row>
    <row r="7" spans="1:14" ht="19.5" customHeight="1" x14ac:dyDescent="0.25">
      <c r="A7" s="384" t="s">
        <v>123</v>
      </c>
      <c r="B7" s="384" t="s">
        <v>124</v>
      </c>
      <c r="C7" s="384"/>
      <c r="D7" s="384" t="s">
        <v>125</v>
      </c>
      <c r="E7" s="384" t="s">
        <v>121</v>
      </c>
      <c r="F7" s="384" t="s">
        <v>126</v>
      </c>
      <c r="G7" s="384" t="s">
        <v>127</v>
      </c>
      <c r="H7" s="384" t="s">
        <v>128</v>
      </c>
      <c r="I7" s="384" t="s">
        <v>129</v>
      </c>
      <c r="J7" s="384" t="s">
        <v>618</v>
      </c>
      <c r="K7" s="384" t="s">
        <v>130</v>
      </c>
      <c r="L7" s="384" t="s">
        <v>619</v>
      </c>
    </row>
    <row r="8" spans="1:14" ht="15.75" x14ac:dyDescent="0.25">
      <c r="A8" s="386">
        <v>1</v>
      </c>
      <c r="B8" s="387" t="s">
        <v>205</v>
      </c>
      <c r="C8" s="388">
        <v>5412.2460000000001</v>
      </c>
      <c r="D8" s="388">
        <v>0</v>
      </c>
      <c r="E8" s="389">
        <f>C8-D8</f>
        <v>5412.2460000000001</v>
      </c>
      <c r="F8" s="389">
        <v>0</v>
      </c>
      <c r="G8" s="394">
        <f>E8/$G$2</f>
        <v>541.22460000000001</v>
      </c>
      <c r="H8" s="119">
        <v>12</v>
      </c>
      <c r="I8" s="119">
        <v>17</v>
      </c>
      <c r="J8" s="389">
        <f>(F8+G8)-(H8+I8)</f>
        <v>512.22460000000001</v>
      </c>
      <c r="K8" s="1">
        <v>28</v>
      </c>
      <c r="L8" s="390" t="s">
        <v>206</v>
      </c>
    </row>
    <row r="9" spans="1:14" ht="15.75" x14ac:dyDescent="0.25">
      <c r="A9" s="386"/>
      <c r="B9" s="387" t="s">
        <v>221</v>
      </c>
      <c r="C9" s="388">
        <v>4535.3680000000004</v>
      </c>
      <c r="D9" s="388">
        <v>1000</v>
      </c>
      <c r="E9" s="389">
        <f>C9-D9</f>
        <v>3535.3680000000004</v>
      </c>
      <c r="F9" s="389">
        <f>ROUND((D9/$G$3)*1/3,0)</f>
        <v>22</v>
      </c>
      <c r="G9" s="394">
        <f>E9/$G$2</f>
        <v>353.53680000000003</v>
      </c>
      <c r="H9" s="119">
        <v>20</v>
      </c>
      <c r="I9" s="119">
        <v>14</v>
      </c>
      <c r="J9" s="389">
        <f>(F9+G9)-(H9+I9)</f>
        <v>341.53680000000003</v>
      </c>
      <c r="K9" s="1">
        <v>14</v>
      </c>
      <c r="L9" s="390" t="s">
        <v>206</v>
      </c>
    </row>
    <row r="10" spans="1:14" ht="15.75" x14ac:dyDescent="0.25">
      <c r="A10" s="386">
        <v>2</v>
      </c>
      <c r="B10" s="387" t="s">
        <v>207</v>
      </c>
      <c r="C10" s="388">
        <v>1556.9169999999999</v>
      </c>
      <c r="D10" s="388">
        <v>0</v>
      </c>
      <c r="E10" s="389">
        <f t="shared" ref="E10:E24" si="0">C10-D10</f>
        <v>1556.9169999999999</v>
      </c>
      <c r="F10" s="389">
        <v>0</v>
      </c>
      <c r="G10" s="394">
        <f>E10/$G$2</f>
        <v>155.6917</v>
      </c>
      <c r="H10" s="119">
        <v>15</v>
      </c>
      <c r="I10" s="119">
        <v>5</v>
      </c>
      <c r="J10" s="389">
        <f t="shared" ref="J10:J24" si="1">(F10+G10)-(H10+I10)</f>
        <v>135.6917</v>
      </c>
      <c r="K10" s="1">
        <v>7</v>
      </c>
      <c r="L10" s="390" t="s">
        <v>206</v>
      </c>
    </row>
    <row r="11" spans="1:14" ht="15.75" x14ac:dyDescent="0.25">
      <c r="A11" s="386">
        <v>3</v>
      </c>
      <c r="B11" s="387" t="s">
        <v>208</v>
      </c>
      <c r="C11" s="388">
        <v>1216.731</v>
      </c>
      <c r="D11" s="388">
        <v>0</v>
      </c>
      <c r="E11" s="389">
        <f t="shared" si="0"/>
        <v>1216.731</v>
      </c>
      <c r="F11" s="389">
        <v>0</v>
      </c>
      <c r="G11" s="394">
        <f>E11/$G$2</f>
        <v>121.67310000000001</v>
      </c>
      <c r="H11" s="119">
        <v>8</v>
      </c>
      <c r="I11" s="119">
        <v>2</v>
      </c>
      <c r="J11" s="389">
        <f t="shared" si="1"/>
        <v>111.67310000000001</v>
      </c>
      <c r="K11" s="1">
        <v>10</v>
      </c>
      <c r="L11" s="390" t="s">
        <v>206</v>
      </c>
      <c r="M11" s="135">
        <f>C12+C13+C14</f>
        <v>18887.021000000001</v>
      </c>
    </row>
    <row r="12" spans="1:14" ht="15.75" x14ac:dyDescent="0.25">
      <c r="A12" s="386">
        <v>4</v>
      </c>
      <c r="B12" s="387" t="s">
        <v>209</v>
      </c>
      <c r="C12" s="388">
        <v>2434.8240000000001</v>
      </c>
      <c r="D12" s="388">
        <v>0</v>
      </c>
      <c r="E12" s="389">
        <f t="shared" si="0"/>
        <v>2434.8240000000001</v>
      </c>
      <c r="F12" s="389">
        <v>0</v>
      </c>
      <c r="G12" s="394">
        <f>E12/$G$3</f>
        <v>162.32160000000002</v>
      </c>
      <c r="H12" s="119">
        <v>2</v>
      </c>
      <c r="I12" s="119">
        <v>3</v>
      </c>
      <c r="J12" s="389">
        <f t="shared" si="1"/>
        <v>157.32160000000002</v>
      </c>
      <c r="K12" s="1">
        <v>15</v>
      </c>
      <c r="L12" s="390" t="s">
        <v>210</v>
      </c>
      <c r="M12" s="135">
        <f>C25-M11</f>
        <v>117887.42399999997</v>
      </c>
      <c r="N12" s="135"/>
    </row>
    <row r="13" spans="1:14" ht="15.75" x14ac:dyDescent="0.25">
      <c r="A13" s="386">
        <v>5</v>
      </c>
      <c r="B13" s="387" t="s">
        <v>211</v>
      </c>
      <c r="C13" s="388">
        <v>2560.1950000000002</v>
      </c>
      <c r="D13" s="388">
        <v>0</v>
      </c>
      <c r="E13" s="389">
        <f t="shared" si="0"/>
        <v>2560.1950000000002</v>
      </c>
      <c r="F13" s="389">
        <v>0</v>
      </c>
      <c r="G13" s="394">
        <f>E13/$G$3</f>
        <v>170.67966666666669</v>
      </c>
      <c r="H13" s="119">
        <v>3</v>
      </c>
      <c r="I13" s="119">
        <v>3</v>
      </c>
      <c r="J13" s="389">
        <f t="shared" si="1"/>
        <v>164.67966666666669</v>
      </c>
      <c r="K13" s="1">
        <v>12</v>
      </c>
      <c r="L13" s="390" t="s">
        <v>210</v>
      </c>
    </row>
    <row r="14" spans="1:14" ht="15.75" x14ac:dyDescent="0.25">
      <c r="A14" s="386">
        <v>6</v>
      </c>
      <c r="B14" s="387" t="s">
        <v>212</v>
      </c>
      <c r="C14" s="388">
        <v>13892.002</v>
      </c>
      <c r="D14" s="388">
        <v>5892</v>
      </c>
      <c r="E14" s="389">
        <f t="shared" si="0"/>
        <v>8000.0020000000004</v>
      </c>
      <c r="F14" s="389">
        <f>ROUND((D14/$G$3)*1/3,0)</f>
        <v>131</v>
      </c>
      <c r="G14" s="394">
        <f>E14/$G$3</f>
        <v>533.33346666666671</v>
      </c>
      <c r="H14" s="119">
        <v>22</v>
      </c>
      <c r="I14" s="119">
        <v>18</v>
      </c>
      <c r="J14" s="389">
        <f t="shared" si="1"/>
        <v>624.33346666666671</v>
      </c>
      <c r="K14" s="1">
        <v>21</v>
      </c>
      <c r="L14" s="390" t="s">
        <v>210</v>
      </c>
    </row>
    <row r="15" spans="1:14" ht="15.75" x14ac:dyDescent="0.25">
      <c r="A15" s="386">
        <v>7</v>
      </c>
      <c r="B15" s="387" t="s">
        <v>213</v>
      </c>
      <c r="C15" s="388">
        <v>6815.4579999999996</v>
      </c>
      <c r="D15" s="388">
        <v>800</v>
      </c>
      <c r="E15" s="389">
        <f t="shared" si="0"/>
        <v>6015.4579999999996</v>
      </c>
      <c r="F15" s="389">
        <f t="shared" ref="F15:F24" si="2">ROUND((D15/$G$3)*1/3,0)</f>
        <v>18</v>
      </c>
      <c r="G15" s="394">
        <f t="shared" ref="G15:G24" si="3">E15/$G$2</f>
        <v>601.54579999999999</v>
      </c>
      <c r="H15" s="119">
        <v>24</v>
      </c>
      <c r="I15" s="119">
        <v>19</v>
      </c>
      <c r="J15" s="389">
        <f t="shared" si="1"/>
        <v>576.54579999999999</v>
      </c>
      <c r="K15" s="1">
        <v>13</v>
      </c>
      <c r="L15" s="390" t="s">
        <v>206</v>
      </c>
    </row>
    <row r="16" spans="1:14" ht="15.75" x14ac:dyDescent="0.25">
      <c r="A16" s="386">
        <v>8</v>
      </c>
      <c r="B16" s="387" t="s">
        <v>214</v>
      </c>
      <c r="C16" s="388">
        <v>16067.478999999999</v>
      </c>
      <c r="D16" s="388">
        <v>1597</v>
      </c>
      <c r="E16" s="389">
        <f t="shared" si="0"/>
        <v>14470.478999999999</v>
      </c>
      <c r="F16" s="389">
        <f t="shared" si="2"/>
        <v>35</v>
      </c>
      <c r="G16" s="394">
        <f t="shared" si="3"/>
        <v>1447.0479</v>
      </c>
      <c r="H16" s="119">
        <v>55</v>
      </c>
      <c r="I16" s="119">
        <v>44</v>
      </c>
      <c r="J16" s="389">
        <f t="shared" si="1"/>
        <v>1383.0479</v>
      </c>
      <c r="K16" s="1">
        <v>30</v>
      </c>
      <c r="L16" s="390" t="s">
        <v>206</v>
      </c>
    </row>
    <row r="17" spans="1:12" ht="15.75" x14ac:dyDescent="0.25">
      <c r="A17" s="386">
        <v>9</v>
      </c>
      <c r="B17" s="387" t="s">
        <v>215</v>
      </c>
      <c r="C17" s="388">
        <v>13718.121999999999</v>
      </c>
      <c r="D17" s="388">
        <v>1500</v>
      </c>
      <c r="E17" s="389">
        <f t="shared" si="0"/>
        <v>12218.121999999999</v>
      </c>
      <c r="F17" s="389">
        <f t="shared" si="2"/>
        <v>33</v>
      </c>
      <c r="G17" s="394">
        <f t="shared" si="3"/>
        <v>1221.8121999999998</v>
      </c>
      <c r="H17" s="119">
        <v>46</v>
      </c>
      <c r="I17" s="119">
        <v>38</v>
      </c>
      <c r="J17" s="389">
        <f t="shared" si="1"/>
        <v>1170.8121999999998</v>
      </c>
      <c r="K17" s="1">
        <v>32</v>
      </c>
      <c r="L17" s="390" t="s">
        <v>206</v>
      </c>
    </row>
    <row r="18" spans="1:12" ht="15.75" x14ac:dyDescent="0.25">
      <c r="A18" s="386">
        <v>10</v>
      </c>
      <c r="B18" s="387" t="s">
        <v>216</v>
      </c>
      <c r="C18" s="388">
        <v>9725.366</v>
      </c>
      <c r="D18" s="119">
        <v>1500</v>
      </c>
      <c r="E18" s="389">
        <f t="shared" si="0"/>
        <v>8225.366</v>
      </c>
      <c r="F18" s="389">
        <f t="shared" si="2"/>
        <v>33</v>
      </c>
      <c r="G18" s="394">
        <f t="shared" si="3"/>
        <v>822.53660000000002</v>
      </c>
      <c r="H18" s="119">
        <v>36</v>
      </c>
      <c r="I18" s="119">
        <v>27</v>
      </c>
      <c r="J18" s="389">
        <f t="shared" si="1"/>
        <v>792.53660000000002</v>
      </c>
      <c r="K18" s="1">
        <v>24</v>
      </c>
      <c r="L18" s="390" t="s">
        <v>206</v>
      </c>
    </row>
    <row r="19" spans="1:12" ht="15.75" x14ac:dyDescent="0.25">
      <c r="A19" s="386">
        <v>11</v>
      </c>
      <c r="B19" s="387" t="s">
        <v>217</v>
      </c>
      <c r="C19" s="388">
        <v>9884.73</v>
      </c>
      <c r="D19" s="388">
        <v>1318</v>
      </c>
      <c r="E19" s="389">
        <f t="shared" si="0"/>
        <v>8566.73</v>
      </c>
      <c r="F19" s="389">
        <f t="shared" si="2"/>
        <v>29</v>
      </c>
      <c r="G19" s="394">
        <f t="shared" si="3"/>
        <v>856.673</v>
      </c>
      <c r="H19" s="119">
        <v>36</v>
      </c>
      <c r="I19" s="119">
        <v>29</v>
      </c>
      <c r="J19" s="389">
        <f t="shared" si="1"/>
        <v>820.673</v>
      </c>
      <c r="K19" s="1">
        <v>36</v>
      </c>
      <c r="L19" s="390" t="s">
        <v>206</v>
      </c>
    </row>
    <row r="20" spans="1:12" ht="15.75" x14ac:dyDescent="0.25">
      <c r="A20" s="386">
        <v>12</v>
      </c>
      <c r="B20" s="387" t="s">
        <v>218</v>
      </c>
      <c r="C20" s="388">
        <v>6282.15</v>
      </c>
      <c r="D20" s="388">
        <v>1000</v>
      </c>
      <c r="E20" s="389">
        <f t="shared" si="0"/>
        <v>5282.15</v>
      </c>
      <c r="F20" s="389">
        <f t="shared" si="2"/>
        <v>22</v>
      </c>
      <c r="G20" s="394">
        <f t="shared" si="3"/>
        <v>528.21499999999992</v>
      </c>
      <c r="H20" s="119">
        <v>48</v>
      </c>
      <c r="I20" s="119">
        <v>19</v>
      </c>
      <c r="J20" s="389">
        <f t="shared" si="1"/>
        <v>483.21499999999992</v>
      </c>
      <c r="K20" s="1">
        <v>21</v>
      </c>
      <c r="L20" s="390" t="s">
        <v>206</v>
      </c>
    </row>
    <row r="21" spans="1:12" ht="15.75" x14ac:dyDescent="0.25">
      <c r="A21" s="386">
        <v>13</v>
      </c>
      <c r="B21" s="387" t="s">
        <v>219</v>
      </c>
      <c r="C21" s="388">
        <v>6813.65</v>
      </c>
      <c r="D21" s="119">
        <v>900</v>
      </c>
      <c r="E21" s="389">
        <f t="shared" si="0"/>
        <v>5913.65</v>
      </c>
      <c r="F21" s="389">
        <f t="shared" si="2"/>
        <v>20</v>
      </c>
      <c r="G21" s="394">
        <f t="shared" si="3"/>
        <v>591.36500000000001</v>
      </c>
      <c r="H21" s="119">
        <v>28</v>
      </c>
      <c r="I21" s="119">
        <v>22</v>
      </c>
      <c r="J21" s="389">
        <f t="shared" si="1"/>
        <v>561.36500000000001</v>
      </c>
      <c r="K21" s="1">
        <v>23</v>
      </c>
      <c r="L21" s="390" t="s">
        <v>206</v>
      </c>
    </row>
    <row r="22" spans="1:12" ht="15.75" x14ac:dyDescent="0.25">
      <c r="A22" s="386">
        <v>14</v>
      </c>
      <c r="B22" s="387" t="s">
        <v>220</v>
      </c>
      <c r="C22" s="388">
        <v>14411.036</v>
      </c>
      <c r="D22" s="388">
        <v>1200</v>
      </c>
      <c r="E22" s="389">
        <f t="shared" si="0"/>
        <v>13211.036</v>
      </c>
      <c r="F22" s="389">
        <f t="shared" si="2"/>
        <v>27</v>
      </c>
      <c r="G22" s="394">
        <f t="shared" si="3"/>
        <v>1321.1035999999999</v>
      </c>
      <c r="H22" s="119">
        <v>47</v>
      </c>
      <c r="I22" s="119">
        <v>40</v>
      </c>
      <c r="J22" s="389">
        <f t="shared" si="1"/>
        <v>1261.1035999999999</v>
      </c>
      <c r="K22" s="1">
        <v>29</v>
      </c>
      <c r="L22" s="390" t="s">
        <v>206</v>
      </c>
    </row>
    <row r="23" spans="1:12" ht="15.75" x14ac:dyDescent="0.25">
      <c r="A23" s="386">
        <v>15</v>
      </c>
      <c r="B23" s="387" t="s">
        <v>222</v>
      </c>
      <c r="C23" s="388">
        <v>8899.884</v>
      </c>
      <c r="D23" s="119">
        <v>1500</v>
      </c>
      <c r="E23" s="389">
        <f t="shared" si="0"/>
        <v>7399.884</v>
      </c>
      <c r="F23" s="389">
        <f t="shared" si="2"/>
        <v>33</v>
      </c>
      <c r="G23" s="394">
        <f t="shared" si="3"/>
        <v>739.98839999999996</v>
      </c>
      <c r="H23" s="119">
        <v>42</v>
      </c>
      <c r="I23" s="119">
        <v>29</v>
      </c>
      <c r="J23" s="389">
        <f t="shared" si="1"/>
        <v>701.98839999999996</v>
      </c>
      <c r="K23" s="1">
        <v>26</v>
      </c>
      <c r="L23" s="390" t="s">
        <v>206</v>
      </c>
    </row>
    <row r="24" spans="1:12" ht="15.75" x14ac:dyDescent="0.25">
      <c r="A24" s="386">
        <v>16</v>
      </c>
      <c r="B24" s="387" t="s">
        <v>223</v>
      </c>
      <c r="C24" s="388">
        <v>12548.287</v>
      </c>
      <c r="D24" s="388">
        <v>0</v>
      </c>
      <c r="E24" s="389">
        <f t="shared" si="0"/>
        <v>12548.287</v>
      </c>
      <c r="F24" s="389">
        <f t="shared" si="2"/>
        <v>0</v>
      </c>
      <c r="G24" s="394">
        <f t="shared" si="3"/>
        <v>1254.8287</v>
      </c>
      <c r="H24" s="119">
        <v>33</v>
      </c>
      <c r="I24" s="119">
        <v>35</v>
      </c>
      <c r="J24" s="389">
        <f t="shared" si="1"/>
        <v>1186.8287</v>
      </c>
      <c r="K24" s="1">
        <v>29</v>
      </c>
      <c r="L24" s="390" t="s">
        <v>206</v>
      </c>
    </row>
    <row r="25" spans="1:12" s="3" customFormat="1" ht="15.75" x14ac:dyDescent="0.25">
      <c r="A25" s="391"/>
      <c r="B25" s="392" t="s">
        <v>61</v>
      </c>
      <c r="C25" s="422">
        <f>SUM(C8:C24)</f>
        <v>136774.44499999998</v>
      </c>
      <c r="D25" s="385">
        <f t="shared" ref="D25:K25" si="4">SUM(D8:D24)</f>
        <v>18207</v>
      </c>
      <c r="E25" s="385">
        <f t="shared" si="4"/>
        <v>118567.44499999998</v>
      </c>
      <c r="F25" s="385">
        <f t="shared" si="4"/>
        <v>403</v>
      </c>
      <c r="G25" s="385">
        <f t="shared" si="4"/>
        <v>11423.577133333334</v>
      </c>
      <c r="H25" s="385">
        <f t="shared" si="4"/>
        <v>477</v>
      </c>
      <c r="I25" s="385">
        <f t="shared" si="4"/>
        <v>364</v>
      </c>
      <c r="J25" s="385">
        <f t="shared" si="4"/>
        <v>10985.577133333334</v>
      </c>
      <c r="K25" s="385">
        <f t="shared" si="4"/>
        <v>370</v>
      </c>
      <c r="L25" s="393"/>
    </row>
    <row r="26" spans="1:12" x14ac:dyDescent="0.25">
      <c r="I26" s="135"/>
    </row>
    <row r="27" spans="1:12" ht="15.75" x14ac:dyDescent="0.25">
      <c r="B27" s="272" t="s">
        <v>613</v>
      </c>
      <c r="C27">
        <f>ROUND((C12+C13+C14)/25,0)</f>
        <v>755</v>
      </c>
      <c r="D27" s="135"/>
    </row>
    <row r="28" spans="1:12" ht="15.75" x14ac:dyDescent="0.25">
      <c r="B28" s="272" t="s">
        <v>614</v>
      </c>
      <c r="C28">
        <f>ROUND((C8+C10+C11+C15+C16+C17+C18+C19+C20+C21+C22+C9+C23+C24)/15,0)</f>
        <v>7859</v>
      </c>
    </row>
    <row r="29" spans="1:12" ht="15.75" x14ac:dyDescent="0.25">
      <c r="B29" s="273" t="s">
        <v>615</v>
      </c>
      <c r="C29" s="3">
        <f>SUM(C27:C28)</f>
        <v>8614</v>
      </c>
    </row>
  </sheetData>
  <mergeCells count="14">
    <mergeCell ref="A1:L1"/>
    <mergeCell ref="A2:F2"/>
    <mergeCell ref="A3:F3"/>
    <mergeCell ref="G5:G6"/>
    <mergeCell ref="H5:I5"/>
    <mergeCell ref="J5:J6"/>
    <mergeCell ref="K5:K6"/>
    <mergeCell ref="L5:L6"/>
    <mergeCell ref="A5:A6"/>
    <mergeCell ref="B5:B6"/>
    <mergeCell ref="D5:D6"/>
    <mergeCell ref="E5:E6"/>
    <mergeCell ref="F5:F6"/>
    <mergeCell ref="C5:C6"/>
  </mergeCells>
  <pageMargins left="0.7" right="0.7" top="0.75" bottom="0.75" header="0.3" footer="0.3"/>
  <pageSetup paperSize="9" orientation="landscape" verticalDpi="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sqref="A1:G1"/>
    </sheetView>
  </sheetViews>
  <sheetFormatPr defaultRowHeight="15" x14ac:dyDescent="0.25"/>
  <cols>
    <col min="2" max="2" width="47.85546875" customWidth="1"/>
    <col min="5" max="5" width="12.42578125" customWidth="1"/>
    <col min="6" max="6" width="13.5703125" customWidth="1"/>
    <col min="7" max="7" width="28.85546875" customWidth="1"/>
    <col min="9" max="9" width="14.28515625" style="54" bestFit="1" customWidth="1"/>
    <col min="10" max="10" width="11.5703125" bestFit="1" customWidth="1"/>
  </cols>
  <sheetData>
    <row r="1" spans="1:10" x14ac:dyDescent="0.25">
      <c r="A1" s="498" t="s">
        <v>817</v>
      </c>
      <c r="B1" s="498"/>
      <c r="C1" s="498"/>
      <c r="D1" s="498"/>
      <c r="E1" s="498"/>
      <c r="F1" s="498"/>
      <c r="G1" s="498"/>
    </row>
    <row r="3" spans="1:10" ht="15.75" x14ac:dyDescent="0.25">
      <c r="A3" s="142" t="s">
        <v>261</v>
      </c>
    </row>
    <row r="4" spans="1:10" x14ac:dyDescent="0.25">
      <c r="A4" s="56"/>
    </row>
    <row r="5" spans="1:10" ht="28.5" x14ac:dyDescent="0.25">
      <c r="A5" s="13" t="s">
        <v>59</v>
      </c>
      <c r="B5" s="13" t="s">
        <v>109</v>
      </c>
      <c r="C5" s="13" t="s">
        <v>110</v>
      </c>
      <c r="D5" s="13" t="s">
        <v>112</v>
      </c>
      <c r="E5" s="121" t="s">
        <v>132</v>
      </c>
      <c r="F5" s="121" t="s">
        <v>133</v>
      </c>
      <c r="G5" s="13" t="s">
        <v>105</v>
      </c>
    </row>
    <row r="6" spans="1:10" ht="21" customHeight="1" x14ac:dyDescent="0.25">
      <c r="A6" s="397">
        <v>1</v>
      </c>
      <c r="B6" s="398" t="s">
        <v>262</v>
      </c>
      <c r="C6" s="399"/>
      <c r="D6" s="399"/>
      <c r="E6" s="400"/>
      <c r="F6" s="401">
        <f>SUM(F7:F8)</f>
        <v>29440000</v>
      </c>
      <c r="G6" s="399" t="s">
        <v>264</v>
      </c>
      <c r="I6" s="395"/>
    </row>
    <row r="7" spans="1:10" ht="21" customHeight="1" x14ac:dyDescent="0.25">
      <c r="A7" s="397"/>
      <c r="B7" s="399" t="s">
        <v>140</v>
      </c>
      <c r="C7" s="399" t="s">
        <v>263</v>
      </c>
      <c r="D7" s="402">
        <v>0.4</v>
      </c>
      <c r="E7" s="400">
        <f>E8*0.8</f>
        <v>25600000</v>
      </c>
      <c r="F7" s="400">
        <f t="shared" ref="F7:F17" si="0">D7*E7</f>
        <v>10240000</v>
      </c>
      <c r="G7" s="399" t="s">
        <v>267</v>
      </c>
      <c r="I7" s="395"/>
      <c r="J7" s="396"/>
    </row>
    <row r="8" spans="1:10" ht="21" customHeight="1" x14ac:dyDescent="0.25">
      <c r="A8" s="397"/>
      <c r="B8" s="399" t="s">
        <v>139</v>
      </c>
      <c r="C8" s="399" t="s">
        <v>263</v>
      </c>
      <c r="D8" s="402">
        <v>0.6</v>
      </c>
      <c r="E8" s="400">
        <v>32000000</v>
      </c>
      <c r="F8" s="400">
        <f t="shared" si="0"/>
        <v>19200000</v>
      </c>
      <c r="G8" s="399" t="s">
        <v>266</v>
      </c>
      <c r="I8" s="395"/>
      <c r="J8" s="396"/>
    </row>
    <row r="9" spans="1:10" ht="21" customHeight="1" x14ac:dyDescent="0.25">
      <c r="A9" s="397">
        <v>2</v>
      </c>
      <c r="B9" s="398" t="s">
        <v>134</v>
      </c>
      <c r="C9" s="398"/>
      <c r="D9" s="398"/>
      <c r="E9" s="398"/>
      <c r="F9" s="401">
        <f>F10+F16</f>
        <v>12800000</v>
      </c>
      <c r="G9" s="399" t="s">
        <v>265</v>
      </c>
      <c r="I9" s="395"/>
    </row>
    <row r="10" spans="1:10" ht="21" customHeight="1" x14ac:dyDescent="0.25">
      <c r="A10" s="397" t="s">
        <v>145</v>
      </c>
      <c r="B10" s="398" t="s">
        <v>256</v>
      </c>
      <c r="C10" s="398"/>
      <c r="D10" s="398"/>
      <c r="E10" s="398"/>
      <c r="F10" s="403">
        <f>SUM(F11:F15)</f>
        <v>9680000</v>
      </c>
      <c r="G10" s="399"/>
    </row>
    <row r="11" spans="1:10" ht="21" customHeight="1" x14ac:dyDescent="0.25">
      <c r="A11" s="397"/>
      <c r="B11" s="399" t="s">
        <v>135</v>
      </c>
      <c r="C11" s="402" t="s">
        <v>46</v>
      </c>
      <c r="D11" s="402">
        <v>1</v>
      </c>
      <c r="E11" s="404">
        <v>1200000</v>
      </c>
      <c r="F11" s="404">
        <f t="shared" si="0"/>
        <v>1200000</v>
      </c>
      <c r="G11" s="399"/>
    </row>
    <row r="12" spans="1:10" ht="21" customHeight="1" x14ac:dyDescent="0.25">
      <c r="A12" s="397"/>
      <c r="B12" s="399" t="s">
        <v>257</v>
      </c>
      <c r="C12" s="402" t="s">
        <v>46</v>
      </c>
      <c r="D12" s="402">
        <v>6</v>
      </c>
      <c r="E12" s="404">
        <v>800000</v>
      </c>
      <c r="F12" s="404">
        <f t="shared" si="0"/>
        <v>4800000</v>
      </c>
      <c r="G12" s="399"/>
    </row>
    <row r="13" spans="1:10" ht="21" customHeight="1" x14ac:dyDescent="0.25">
      <c r="A13" s="397"/>
      <c r="B13" s="399" t="s">
        <v>258</v>
      </c>
      <c r="C13" s="402" t="s">
        <v>46</v>
      </c>
      <c r="D13" s="402">
        <v>1</v>
      </c>
      <c r="E13" s="404">
        <v>240000</v>
      </c>
      <c r="F13" s="404">
        <f>D13*E13</f>
        <v>240000</v>
      </c>
      <c r="G13" s="399"/>
    </row>
    <row r="14" spans="1:10" ht="21" customHeight="1" x14ac:dyDescent="0.25">
      <c r="A14" s="397"/>
      <c r="B14" s="399" t="s">
        <v>259</v>
      </c>
      <c r="C14" s="402" t="s">
        <v>46</v>
      </c>
      <c r="D14" s="402">
        <v>1</v>
      </c>
      <c r="E14" s="404">
        <v>240000</v>
      </c>
      <c r="F14" s="404">
        <f>D14*E14</f>
        <v>240000</v>
      </c>
      <c r="G14" s="399"/>
    </row>
    <row r="15" spans="1:10" ht="21" customHeight="1" x14ac:dyDescent="0.25">
      <c r="A15" s="397"/>
      <c r="B15" s="399" t="s">
        <v>136</v>
      </c>
      <c r="C15" s="402" t="s">
        <v>46</v>
      </c>
      <c r="D15" s="402">
        <v>20</v>
      </c>
      <c r="E15" s="404">
        <v>160000</v>
      </c>
      <c r="F15" s="404">
        <f t="shared" si="0"/>
        <v>3200000</v>
      </c>
      <c r="G15" s="399"/>
    </row>
    <row r="16" spans="1:10" ht="21" customHeight="1" x14ac:dyDescent="0.25">
      <c r="A16" s="397" t="s">
        <v>146</v>
      </c>
      <c r="B16" s="398" t="s">
        <v>260</v>
      </c>
      <c r="C16" s="402"/>
      <c r="D16" s="402"/>
      <c r="E16" s="404"/>
      <c r="F16" s="403">
        <f>SUM(F17:F18)</f>
        <v>3120000</v>
      </c>
      <c r="G16" s="399"/>
    </row>
    <row r="17" spans="1:7" ht="21" customHeight="1" x14ac:dyDescent="0.25">
      <c r="A17" s="397"/>
      <c r="B17" s="399" t="s">
        <v>137</v>
      </c>
      <c r="C17" s="402" t="s">
        <v>46</v>
      </c>
      <c r="D17" s="402">
        <v>2</v>
      </c>
      <c r="E17" s="404">
        <v>560000</v>
      </c>
      <c r="F17" s="404">
        <f t="shared" si="0"/>
        <v>1120000</v>
      </c>
      <c r="G17" s="399"/>
    </row>
    <row r="18" spans="1:7" ht="21" customHeight="1" x14ac:dyDescent="0.25">
      <c r="A18" s="397"/>
      <c r="B18" s="399" t="s">
        <v>138</v>
      </c>
      <c r="C18" s="402" t="s">
        <v>46</v>
      </c>
      <c r="D18" s="402">
        <v>5</v>
      </c>
      <c r="E18" s="404">
        <v>400000</v>
      </c>
      <c r="F18" s="404">
        <f>D18*E18</f>
        <v>2000000</v>
      </c>
      <c r="G18" s="399"/>
    </row>
    <row r="19" spans="1:7" ht="21" customHeight="1" x14ac:dyDescent="0.25">
      <c r="A19" s="397"/>
      <c r="B19" s="397" t="s">
        <v>61</v>
      </c>
      <c r="C19" s="399"/>
      <c r="D19" s="399"/>
      <c r="E19" s="404"/>
      <c r="F19" s="405">
        <f>F6+F9</f>
        <v>42240000</v>
      </c>
      <c r="G19" s="399"/>
    </row>
    <row r="20" spans="1:7" x14ac:dyDescent="0.25">
      <c r="A20" s="55"/>
      <c r="E20" s="54"/>
      <c r="F20" s="54"/>
    </row>
    <row r="21" spans="1:7" x14ac:dyDescent="0.25">
      <c r="E21" s="54"/>
      <c r="F21" s="54"/>
    </row>
    <row r="22" spans="1:7" x14ac:dyDescent="0.25">
      <c r="E22" s="54"/>
      <c r="F22" s="54"/>
    </row>
    <row r="23" spans="1:7" x14ac:dyDescent="0.25">
      <c r="E23" s="54"/>
    </row>
    <row r="24" spans="1:7" x14ac:dyDescent="0.25">
      <c r="E24" s="54"/>
    </row>
    <row r="25" spans="1:7" x14ac:dyDescent="0.25">
      <c r="E25" s="54"/>
    </row>
    <row r="26" spans="1:7" x14ac:dyDescent="0.25">
      <c r="E26" s="54"/>
    </row>
  </sheetData>
  <mergeCells count="1">
    <mergeCell ref="A1:G1"/>
  </mergeCells>
  <pageMargins left="0.7" right="0.7" top="0.75" bottom="0.75" header="0.3" footer="0.3"/>
  <pageSetup paperSize="9" orientation="landscape"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activeCell="B14" sqref="B14"/>
    </sheetView>
  </sheetViews>
  <sheetFormatPr defaultColWidth="8.85546875" defaultRowHeight="15.75" x14ac:dyDescent="0.25"/>
  <cols>
    <col min="1" max="1" width="20.140625" style="202" customWidth="1"/>
    <col min="2" max="2" width="85.28515625" style="202" customWidth="1"/>
    <col min="3" max="16384" width="8.85546875" style="202"/>
  </cols>
  <sheetData>
    <row r="1" spans="1:2" x14ac:dyDescent="0.25">
      <c r="A1" s="503" t="s">
        <v>818</v>
      </c>
      <c r="B1" s="504"/>
    </row>
    <row r="2" spans="1:2" x14ac:dyDescent="0.25">
      <c r="A2" s="201"/>
      <c r="B2" s="203"/>
    </row>
    <row r="3" spans="1:2" x14ac:dyDescent="0.25">
      <c r="A3" s="204" t="s">
        <v>59</v>
      </c>
      <c r="B3" s="204" t="s">
        <v>381</v>
      </c>
    </row>
    <row r="4" spans="1:2" ht="22.5" customHeight="1" x14ac:dyDescent="0.25">
      <c r="A4" s="204" t="s">
        <v>12</v>
      </c>
      <c r="B4" s="205" t="s">
        <v>382</v>
      </c>
    </row>
    <row r="5" spans="1:2" ht="22.5" customHeight="1" x14ac:dyDescent="0.25">
      <c r="A5" s="9">
        <v>1</v>
      </c>
      <c r="B5" s="206" t="s">
        <v>383</v>
      </c>
    </row>
    <row r="6" spans="1:2" ht="22.5" customHeight="1" x14ac:dyDescent="0.25">
      <c r="A6" s="9">
        <v>2</v>
      </c>
      <c r="B6" s="206" t="s">
        <v>384</v>
      </c>
    </row>
    <row r="7" spans="1:2" ht="22.5" customHeight="1" x14ac:dyDescent="0.25">
      <c r="A7" s="9">
        <v>3</v>
      </c>
      <c r="B7" s="206" t="s">
        <v>385</v>
      </c>
    </row>
    <row r="8" spans="1:2" ht="22.5" customHeight="1" x14ac:dyDescent="0.25">
      <c r="A8" s="9">
        <v>4</v>
      </c>
      <c r="B8" s="206" t="s">
        <v>386</v>
      </c>
    </row>
    <row r="9" spans="1:2" ht="22.5" customHeight="1" x14ac:dyDescent="0.25">
      <c r="A9" s="9">
        <v>5</v>
      </c>
      <c r="B9" s="206" t="s">
        <v>387</v>
      </c>
    </row>
    <row r="10" spans="1:2" ht="22.5" customHeight="1" x14ac:dyDescent="0.25">
      <c r="A10" s="204" t="s">
        <v>18</v>
      </c>
      <c r="B10" s="205" t="s">
        <v>388</v>
      </c>
    </row>
    <row r="11" spans="1:2" ht="22.5" customHeight="1" x14ac:dyDescent="0.25">
      <c r="A11" s="9">
        <v>1</v>
      </c>
      <c r="B11" s="206" t="s">
        <v>389</v>
      </c>
    </row>
    <row r="12" spans="1:2" ht="22.5" customHeight="1" x14ac:dyDescent="0.25">
      <c r="A12" s="9">
        <v>2</v>
      </c>
      <c r="B12" s="206" t="s">
        <v>390</v>
      </c>
    </row>
    <row r="13" spans="1:2" ht="22.5" customHeight="1" x14ac:dyDescent="0.25">
      <c r="A13" s="9">
        <v>3</v>
      </c>
      <c r="B13" s="206" t="s">
        <v>391</v>
      </c>
    </row>
    <row r="14" spans="1:2" ht="22.5" customHeight="1" x14ac:dyDescent="0.25">
      <c r="A14" s="9">
        <v>4</v>
      </c>
      <c r="B14" s="206" t="s">
        <v>392</v>
      </c>
    </row>
    <row r="15" spans="1:2" ht="22.5" customHeight="1" x14ac:dyDescent="0.25">
      <c r="A15" s="9">
        <v>5</v>
      </c>
      <c r="B15" s="206" t="s">
        <v>393</v>
      </c>
    </row>
    <row r="16" spans="1:2" ht="22.5" customHeight="1" x14ac:dyDescent="0.25">
      <c r="A16" s="9">
        <v>6</v>
      </c>
      <c r="B16" s="206" t="s">
        <v>394</v>
      </c>
    </row>
  </sheetData>
  <mergeCells count="1">
    <mergeCell ref="A1:B1"/>
  </mergeCells>
  <printOptions horizontalCentered="1"/>
  <pageMargins left="1.2204724409448799" right="0.39370078740157499" top="0.74803149606299202" bottom="0.74803149606299202" header="0.31496062992126" footer="0.31496062992126"/>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0b0ee86411ef9e565240e4c24d65773b">
  <xsd:schema xmlns:xsd="http://www.w3.org/2001/XMLSchema" xmlns:xs="http://www.w3.org/2001/XMLSchema" xmlns:p="http://schemas.microsoft.com/office/2006/metadata/properties" xmlns:ns2="d59a7d9b-b8ab-4fd8-8747-a792ee11e21d" targetNamespace="http://schemas.microsoft.com/office/2006/metadata/properties" ma:root="true" ma:fieldsID="82ecbbe65a039288a64e9d8615835c11"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DB0F6BF9-FAE5-437A-93B1-4FAD50C878BC}"/>
</file>

<file path=customXml/itemProps2.xml><?xml version="1.0" encoding="utf-8"?>
<ds:datastoreItem xmlns:ds="http://schemas.openxmlformats.org/officeDocument/2006/customXml" ds:itemID="{88374DFE-4A80-4E27-8D6D-8EF83B7462F3}"/>
</file>

<file path=customXml/itemProps3.xml><?xml version="1.0" encoding="utf-8"?>
<ds:datastoreItem xmlns:ds="http://schemas.openxmlformats.org/officeDocument/2006/customXml" ds:itemID="{45D8A9F3-C410-4FE4-9F76-AD24DD65A3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TongHop</vt:lpstr>
      <vt:lpstr>Biểu 01</vt:lpstr>
      <vt:lpstr>Biểu 02</vt:lpstr>
      <vt:lpstr>Biểu 03</vt:lpstr>
      <vt:lpstr>RutGon</vt:lpstr>
      <vt:lpstr>TongThe</vt:lpstr>
      <vt:lpstr>Số mẫu cần lấy</vt:lpstr>
      <vt:lpstr>Lập đề cương</vt:lpstr>
      <vt:lpstr>ĐTQL_cosodulieu</vt:lpstr>
      <vt:lpstr>Bộ cơ sở dữ liệu</vt:lpstr>
      <vt:lpstr>trường dữ liệu KG</vt:lpstr>
      <vt:lpstr>trường phi KG </vt:lpstr>
      <vt:lpstr>QuydoiDTQL</vt:lpstr>
      <vt:lpstr>Bảng lương</vt:lpstr>
      <vt:lpstr>Số xã làm Bản đồ</vt:lpstr>
      <vt:lpstr>GiaPhanTich</vt:lpstr>
      <vt:lpstr>Sheet1</vt:lpstr>
      <vt:lpstr>'Biểu 01'!Print_Titles</vt:lpstr>
      <vt:lpstr>'Biểu 02'!Print_Titles</vt:lpstr>
      <vt:lpstr>'Biểu 03'!Print_Titles</vt:lpstr>
      <vt:lpstr>QuydoiDTQL!Print_Titles</vt:lpstr>
      <vt:lpstr>'trường dữ liệu KG'!Print_Titles</vt:lpstr>
      <vt:lpstr>'trường phi KG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2024-09-05T02:27:59Z</cp:lastPrinted>
  <dcterms:created xsi:type="dcterms:W3CDTF">2021-02-28T22:09:55Z</dcterms:created>
  <dcterms:modified xsi:type="dcterms:W3CDTF">2024-09-05T02:29:04Z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